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rUw5j7iTBdfoRj8Iw0Ync17vNIaDNUfb7rkWQLsGlhblDRKOqB28WiVS+VTPYH9kygdn0Q2BoMKnclYb2P59Vg==" workbookSaltValue="dwny2fXlUlQkq5RE6mcp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U10" i="11"/>
  <c r="Q32" i="20"/>
  <c r="U12" i="11"/>
  <c r="AZ32" i="20"/>
  <c r="AJ32" i="20"/>
  <c r="G30" i="14"/>
  <c r="G23" i="14"/>
  <c r="U18" i="11"/>
  <c r="AX32" i="20"/>
  <c r="Y32" i="20"/>
  <c r="L32" i="20"/>
  <c r="AG32" i="20"/>
  <c r="H32" i="20"/>
  <c r="T32" i="21"/>
  <c r="F32" i="20"/>
  <c r="AF32" i="20"/>
  <c r="G26" i="14"/>
  <c r="S32" i="20"/>
  <c r="K32" i="20"/>
  <c r="AQ32" i="21"/>
  <c r="O17" i="11"/>
  <c r="M32" i="20"/>
  <c r="AI32" i="20"/>
  <c r="AM32" i="20"/>
  <c r="I32" i="20"/>
  <c r="J32" i="20"/>
  <c r="AK32" i="20"/>
  <c r="AE32" i="20"/>
  <c r="AU32" i="20"/>
  <c r="G14" i="14"/>
  <c r="O18" i="11"/>
  <c r="R32" i="20"/>
  <c r="W32" i="20"/>
  <c r="BF17" i="8" l="1"/>
  <c r="L17" i="14"/>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O32" i="20"/>
  <c r="AH32" i="20"/>
  <c r="AA32" i="20"/>
  <c r="AN32" i="20"/>
  <c r="AD32" i="20"/>
  <c r="AC32" i="20"/>
  <c r="AV32" i="20"/>
  <c r="O10" i="11"/>
  <c r="AP32" i="20"/>
  <c r="U17" i="11"/>
  <c r="W32" i="21"/>
  <c r="AQ32" i="20"/>
  <c r="Z32" i="20"/>
  <c r="AB32" i="20"/>
  <c r="N32" i="20"/>
  <c r="AL32" i="20"/>
  <c r="X32" i="20"/>
  <c r="T32" i="20"/>
  <c r="K17"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L31" i="21"/>
  <c r="S23" i="16"/>
  <c r="S31" i="16" s="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AW32" i="17"/>
  <c r="L32" i="21"/>
  <c r="BF32" i="16"/>
  <c r="AL32" i="17"/>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K32" i="21"/>
  <c r="AF32" i="17"/>
  <c r="AY32" i="16"/>
  <c r="AF32" i="11"/>
  <c r="AK32" i="16"/>
  <c r="AS32" i="17"/>
  <c r="X32" i="16"/>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<sst xmlns="http://schemas.openxmlformats.org/spreadsheetml/2006/main" count="2682" uniqueCount="1193">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</sst>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CywdENo6QnvBcbqqf/phbj8YjaNguouIl1vj1kbfMWx2JqkE5CFkCJUQCGqY1iO9S3Z8gKkOFOgu0ix1sFdeQ==" saltValue="W3mINFrx6f+9ZPsF48I0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45</v>
      </c>
      <c r="E10" s="240">
        <f>IF(ISNUMBER(Datos!J10),Datos!J10," - ")</f>
        <v>27</v>
      </c>
      <c r="F10" s="240">
        <f>IF(ISNUMBER(Datos!K10),Datos!K10," - ")</f>
        <v>37</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-0.21739130434782608</v>
      </c>
      <c r="L10" s="1402">
        <f>IF(ISNUMBER(NºAsuntos!I10/NºAsuntos!G10),(NºAsuntos!I10/NºAsuntos!G10)*11," - ")</f>
        <v>10.702702702702704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29.797843665768191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45</v>
      </c>
      <c r="E14" s="1408">
        <f>SUBTOTAL(9,E9:E13)</f>
        <v>27</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1897</v>
      </c>
      <c r="D17" s="239">
        <f>IF(ISNUMBER(IF(D_I="SI",Datos!I17,Datos!I17+Datos!AC17)),IF(D_I="SI",Datos!I17,Datos!I17+Datos!AC17)," - ")</f>
        <v>2136</v>
      </c>
      <c r="E17" s="240">
        <f>IF(ISNUMBER(IF(D_I="SI",Datos!J17,Datos!J17+Datos!AD17)),IF(D_I="SI",Datos!J17,Datos!J17+Datos!AD17)," - ")</f>
        <v>1712</v>
      </c>
      <c r="F17" s="240">
        <f>IF(ISNUMBER(IF(D_I="SI",Datos!K17,Datos!K17+Datos!AE17)),IF(D_I="SI",Datos!K17,Datos!K17+Datos!AE17)," - ")</f>
        <v>1812</v>
      </c>
      <c r="G17" s="1390" t="str">
        <f>IF(Datos!E17&lt;&gt;"",Datos!E17,Datos!D17)</f>
        <v>04</v>
      </c>
      <c r="H17" s="241">
        <f>IF(ISNUMBER(IF(D_I="SI",Datos!L17,Datos!L17+Datos!AF17)),IF(D_I="SI",Datos!L17,Datos!L17+Datos!AF17)," - ")</f>
        <v>1797</v>
      </c>
      <c r="I17" s="1400" t="str">
        <f>IF(ISNUMBER(Datos!AS17/Datos!BM17),Datos!AS17/Datos!BM17," - ")</f>
        <v xml:space="preserve"> - </v>
      </c>
      <c r="J17" s="1401">
        <f>IF(ISNUMBER(Datos!BY17/Datos!CN17),Datos!BY17/Datos!CN17," - ")</f>
        <v>0</v>
      </c>
      <c r="K17" s="244">
        <f t="shared" si="3"/>
        <v>-5.2714812862414341E-2</v>
      </c>
      <c r="L17" s="1402">
        <f>IF(ISNUMBER(NºAsuntos!I17/NºAsuntos!G17),(NºAsuntos!I17/NºAsuntos!G17)*11," - ")</f>
        <v>10.908940397350994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61</v>
      </c>
      <c r="E18" s="240">
        <f>IF(ISNUMBER(IF(D_I="SI",Datos!J18,Datos!J18+Datos!AD18)),IF(D_I="SI",Datos!J18,Datos!J18+Datos!AD18)," - ")</f>
        <v>222</v>
      </c>
      <c r="F18" s="240">
        <f>IF(ISNUMBER(IF(D_I="SI",Datos!K18,Datos!K18+Datos!AE18)),IF(D_I="SI",Datos!K18,Datos!K18+Datos!AE18)," - ")</f>
        <v>223</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-1.5384615384615385E-2</v>
      </c>
      <c r="L18" s="1402">
        <f>IF(ISNUMBER(NºAsuntos!I18/NºAsuntos!G18),(NºAsuntos!I18/NºAsuntos!G18)*11," - ")</f>
        <v>3.1569506726457397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1962</v>
      </c>
      <c r="D23" s="1407">
        <f>SUBTOTAL(9,D16:D22)</f>
        <v>2197</v>
      </c>
      <c r="E23" s="1408">
        <f>SUBTOTAL(9,E16:E22)</f>
        <v>1934</v>
      </c>
      <c r="F23" s="1408">
        <f>SUBTOTAL(9,F16:F22)</f>
        <v>2035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2008</v>
      </c>
      <c r="D31" s="1435">
        <f>SUBTOTAL(9,D9:D30)</f>
        <v>2242</v>
      </c>
      <c r="E31" s="1436">
        <f>SUBTOTAL(9,E9:E30)</f>
        <v>1961</v>
      </c>
      <c r="F31" s="1436">
        <f>SUBTOTAL(9,F9:F30)</f>
        <v>2072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pfYmNwmbxtXpDJU+qZ2VOenxAVX1xhe21brCrE0q9MBwyywYKdZMxCpEi5adnQ/1B0aJhy+M8jD4RzkUhaRLQ==" saltValue="FfG2uX9WpkcTeuZnBpm4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7nmgveZ/ek2FRuS5lN1XIRNndOE61w0k7pcrDuaFcdAGLYLx3XmUdQh4Zthqn02YaKk1cV240zID20bOXhtQA==" saltValue="Q/8HLCsta3pJ73Rv/QQJ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45</v>
      </c>
      <c r="J10" s="194">
        <v>27</v>
      </c>
      <c r="K10" s="194">
        <v>37</v>
      </c>
      <c r="L10" s="194">
        <v>36</v>
      </c>
      <c r="M10" s="194">
        <v>13</v>
      </c>
      <c r="N10" s="194">
        <v>21</v>
      </c>
      <c r="O10" s="194">
        <v>3</v>
      </c>
      <c r="P10" s="194">
        <v>2</v>
      </c>
      <c r="Q10" s="194">
        <v>2</v>
      </c>
      <c r="R10" s="194">
        <v>17</v>
      </c>
      <c r="S10" s="194">
        <v>57</v>
      </c>
      <c r="T10" s="194">
        <v>21</v>
      </c>
      <c r="U10" s="194">
        <v>19</v>
      </c>
      <c r="V10" s="194">
        <v>59</v>
      </c>
      <c r="W10" s="194">
        <v>11</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57</v>
      </c>
      <c r="AZ10" s="139">
        <f t="shared" si="0"/>
        <v>21</v>
      </c>
      <c r="BA10" s="139">
        <f t="shared" si="0"/>
        <v>19</v>
      </c>
      <c r="BB10" s="139">
        <f t="shared" si="0"/>
        <v>59</v>
      </c>
      <c r="BC10" s="135">
        <f t="shared" si="0"/>
        <v>11</v>
      </c>
      <c r="BD10" s="136">
        <f>IF(ISNUMBER(BA10/AZ10),BA10/AZ10," - ")</f>
        <v>0.90476190476190477</v>
      </c>
      <c r="BE10" s="137">
        <f>IF(ISNUMBER(BB10/BA10),BB10/BA10, " - ")</f>
        <v>3.1052631578947367</v>
      </c>
      <c r="BF10" s="137">
        <f>IF(ISNUMBER(BC10/BA10),BC10/BA10, " - ")</f>
        <v>0.57894736842105265</v>
      </c>
      <c r="BG10" s="209">
        <f>IF(ISNUMBER((AY10+AZ10)/BA10),(AY10+AZ10)/BA10," - ")</f>
        <v>4.1052631578947372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5873</v>
      </c>
      <c r="J12" s="196">
        <v>2018</v>
      </c>
      <c r="K12" s="196">
        <v>2120</v>
      </c>
      <c r="L12" s="196">
        <v>5906</v>
      </c>
      <c r="M12" s="196">
        <v>384</v>
      </c>
      <c r="N12" s="196">
        <v>1371</v>
      </c>
      <c r="O12" s="194">
        <v>719</v>
      </c>
      <c r="P12" s="196">
        <v>235</v>
      </c>
      <c r="Q12" s="196">
        <v>403</v>
      </c>
      <c r="R12" s="196">
        <v>6166</v>
      </c>
      <c r="S12" s="196">
        <v>5888</v>
      </c>
      <c r="T12" s="196">
        <v>1350</v>
      </c>
      <c r="U12" s="196">
        <v>1490</v>
      </c>
      <c r="V12" s="196">
        <v>5692</v>
      </c>
      <c r="W12" s="196">
        <v>301</v>
      </c>
      <c r="X12" s="202">
        <v>534</v>
      </c>
      <c r="Y12" s="204">
        <v>125</v>
      </c>
      <c r="Z12" s="194">
        <v>111</v>
      </c>
      <c r="AA12" s="194">
        <v>106</v>
      </c>
      <c r="AB12" s="194">
        <v>124</v>
      </c>
      <c r="AC12" s="196">
        <v>0</v>
      </c>
      <c r="AD12" s="196">
        <v>0</v>
      </c>
      <c r="AE12" s="196">
        <v>0</v>
      </c>
      <c r="AF12" s="202">
        <v>0</v>
      </c>
      <c r="AG12" s="215">
        <v>87</v>
      </c>
      <c r="AH12" s="196">
        <v>99</v>
      </c>
      <c r="AI12" s="196">
        <v>94</v>
      </c>
      <c r="AJ12" s="216">
        <v>92</v>
      </c>
      <c r="AK12" s="195">
        <v>0</v>
      </c>
      <c r="AL12" s="196">
        <v>0</v>
      </c>
      <c r="AM12" s="196">
        <v>0</v>
      </c>
      <c r="AN12" s="202">
        <v>0</v>
      </c>
      <c r="AO12" s="283">
        <v>7</v>
      </c>
      <c r="AP12" s="168">
        <v>7</v>
      </c>
      <c r="AQ12" s="168">
        <v>7</v>
      </c>
      <c r="AR12" s="167">
        <v>7</v>
      </c>
      <c r="AS12" s="381" t="s">
        <v>1075</v>
      </c>
      <c r="AT12" s="216"/>
      <c r="AU12" s="215"/>
      <c r="AV12" s="216"/>
      <c r="AW12" s="215"/>
      <c r="AX12" s="216"/>
      <c r="AY12" s="136">
        <f t="shared" si="1"/>
        <v>5975</v>
      </c>
      <c r="AZ12" s="137">
        <f t="shared" si="1"/>
        <v>1449</v>
      </c>
      <c r="BA12" s="137">
        <f t="shared" si="1"/>
        <v>1584</v>
      </c>
      <c r="BB12" s="137">
        <f t="shared" si="1"/>
        <v>5784</v>
      </c>
      <c r="BC12" s="135">
        <f>IF(ISNUMBER(X12),X12," - ")</f>
        <v>534</v>
      </c>
      <c r="BD12" s="136">
        <f t="shared" si="2"/>
        <v>1.0931677018633541</v>
      </c>
      <c r="BE12" s="137">
        <f t="shared" si="3"/>
        <v>3.6515151515151514</v>
      </c>
      <c r="BF12" s="137">
        <f t="shared" si="4"/>
        <v>0.3371212121212121</v>
      </c>
      <c r="BG12" s="209">
        <f t="shared" si="5"/>
        <v>4.6868686868686869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5918</v>
      </c>
      <c r="J14" s="197">
        <f t="shared" si="7"/>
        <v>2045</v>
      </c>
      <c r="K14" s="197">
        <f t="shared" si="7"/>
        <v>2157</v>
      </c>
      <c r="L14" s="197">
        <f t="shared" si="7"/>
        <v>5942</v>
      </c>
      <c r="M14" s="197">
        <f t="shared" si="7"/>
        <v>397</v>
      </c>
      <c r="N14" s="197">
        <f t="shared" si="7"/>
        <v>1392</v>
      </c>
      <c r="O14" s="197">
        <f t="shared" si="7"/>
        <v>722</v>
      </c>
      <c r="P14" s="197">
        <f t="shared" si="7"/>
        <v>237</v>
      </c>
      <c r="Q14" s="197">
        <f t="shared" si="7"/>
        <v>405</v>
      </c>
      <c r="R14" s="197">
        <f t="shared" si="7"/>
        <v>6183</v>
      </c>
      <c r="S14" s="197">
        <f t="shared" si="7"/>
        <v>5945</v>
      </c>
      <c r="T14" s="197">
        <f t="shared" si="7"/>
        <v>1371</v>
      </c>
      <c r="U14" s="197">
        <f t="shared" si="7"/>
        <v>1509</v>
      </c>
      <c r="V14" s="197">
        <f t="shared" si="7"/>
        <v>5751</v>
      </c>
      <c r="W14" s="197">
        <f t="shared" si="7"/>
        <v>312</v>
      </c>
      <c r="X14" s="197">
        <f t="shared" si="7"/>
        <v>541</v>
      </c>
      <c r="Y14" s="197">
        <f t="shared" si="7"/>
        <v>125</v>
      </c>
      <c r="Z14" s="197">
        <f t="shared" si="7"/>
        <v>111</v>
      </c>
      <c r="AA14" s="197">
        <f t="shared" si="7"/>
        <v>106</v>
      </c>
      <c r="AB14" s="197">
        <f t="shared" si="7"/>
        <v>124</v>
      </c>
      <c r="AC14" s="197">
        <f t="shared" si="7"/>
        <v>0</v>
      </c>
      <c r="AD14" s="197">
        <f t="shared" si="7"/>
        <v>0</v>
      </c>
      <c r="AE14" s="197">
        <f t="shared" si="7"/>
        <v>0</v>
      </c>
      <c r="AF14" s="197">
        <f>SUBTOTAL(9,AF9:AF13)</f>
        <v>0</v>
      </c>
      <c r="AG14" s="197">
        <f t="shared" ref="AG14:AT14" si="8">SUBTOTAL(9,AG8:AG13)</f>
        <v>87</v>
      </c>
      <c r="AH14" s="197">
        <f t="shared" si="8"/>
        <v>99</v>
      </c>
      <c r="AI14" s="197">
        <f t="shared" si="8"/>
        <v>94</v>
      </c>
      <c r="AJ14" s="197">
        <f t="shared" si="8"/>
        <v>92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6032</v>
      </c>
      <c r="AZ14" s="197">
        <f>SUBTOTAL(9,AZ8:AZ13)</f>
        <v>1470</v>
      </c>
      <c r="BA14" s="197">
        <f>SUBTOTAL(9,BA8:BA13)</f>
        <v>1603</v>
      </c>
      <c r="BB14" s="197">
        <f>SUBTOTAL(9,BB8:BB13)</f>
        <v>5843</v>
      </c>
      <c r="BC14" s="197">
        <f>SUBTOTAL(9,BC8:BC13)</f>
        <v>545</v>
      </c>
      <c r="BD14" s="219">
        <f>IF(ISNUMBER(BA14/AZ14),BA14/AZ14," - ")</f>
        <v>1.0904761904761904</v>
      </c>
      <c r="BE14" s="220">
        <f>IF(ISNUMBER(BB14/BA14),BB14/BA14, " - ")</f>
        <v>3.6450405489706799</v>
      </c>
      <c r="BF14" s="220">
        <f>IF(ISNUMBER(BC14/BA14),BC14/BA14, " - ")</f>
        <v>0.33998752339363691</v>
      </c>
      <c r="BG14" s="221">
        <f>IF(ISNUMBER((AY14+AZ14)/BA14),(AY14+AZ14)/BA14," - ")</f>
        <v>4.6799750467872743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2136</v>
      </c>
      <c r="J17" s="196">
        <v>1712</v>
      </c>
      <c r="K17" s="196">
        <v>1812</v>
      </c>
      <c r="L17" s="196">
        <v>1797</v>
      </c>
      <c r="M17" s="196">
        <v>239</v>
      </c>
      <c r="N17" s="196">
        <v>1275</v>
      </c>
      <c r="O17" s="194">
        <v>32</v>
      </c>
      <c r="P17" s="196">
        <v>57</v>
      </c>
      <c r="Q17" s="196">
        <v>91</v>
      </c>
      <c r="R17" s="196">
        <v>435</v>
      </c>
      <c r="S17" s="196">
        <v>1953</v>
      </c>
      <c r="T17" s="196">
        <v>1657</v>
      </c>
      <c r="U17" s="196">
        <v>1656</v>
      </c>
      <c r="V17" s="196">
        <v>2048</v>
      </c>
      <c r="W17" s="196">
        <v>203</v>
      </c>
      <c r="X17" s="202">
        <v>1235</v>
      </c>
      <c r="Y17" s="215">
        <v>0</v>
      </c>
      <c r="Z17" s="196">
        <v>0</v>
      </c>
      <c r="AA17" s="196">
        <v>0</v>
      </c>
      <c r="AB17" s="196">
        <v>0</v>
      </c>
      <c r="AC17" s="196">
        <v>13</v>
      </c>
      <c r="AD17" s="196">
        <v>78</v>
      </c>
      <c r="AE17" s="196">
        <v>20</v>
      </c>
      <c r="AF17" s="202">
        <v>71</v>
      </c>
      <c r="AG17" s="215">
        <v>0</v>
      </c>
      <c r="AH17" s="196">
        <v>0</v>
      </c>
      <c r="AI17" s="196">
        <v>0</v>
      </c>
      <c r="AJ17" s="216">
        <v>0</v>
      </c>
      <c r="AK17" s="195">
        <v>9</v>
      </c>
      <c r="AL17" s="196">
        <v>1</v>
      </c>
      <c r="AM17" s="196">
        <v>0</v>
      </c>
      <c r="AN17" s="202">
        <v>10</v>
      </c>
      <c r="AO17" s="283">
        <v>7</v>
      </c>
      <c r="AP17" s="168">
        <v>7</v>
      </c>
      <c r="AQ17" s="168">
        <v>7</v>
      </c>
      <c r="AR17" s="168">
        <v>7</v>
      </c>
      <c r="AS17" s="381" t="s">
        <v>650</v>
      </c>
      <c r="AT17" s="216"/>
      <c r="AU17" s="215"/>
      <c r="AV17" s="216"/>
      <c r="AW17" s="215"/>
      <c r="AX17" s="216"/>
      <c r="AY17" s="136">
        <f t="shared" si="10"/>
        <v>1953</v>
      </c>
      <c r="AZ17" s="137">
        <f t="shared" si="10"/>
        <v>1657</v>
      </c>
      <c r="BA17" s="137">
        <f t="shared" si="10"/>
        <v>1656</v>
      </c>
      <c r="BB17" s="137">
        <f t="shared" si="10"/>
        <v>2048</v>
      </c>
      <c r="BC17" s="135">
        <f>IF(ISNUMBER(W17),W17," - ")</f>
        <v>203</v>
      </c>
      <c r="BD17" s="136">
        <f t="shared" ref="BD17:BD22" si="12">IF(ISNUMBER(BA17/AZ17),BA17/AZ17," - ")</f>
        <v>0.99939649969824984</v>
      </c>
      <c r="BE17" s="137">
        <f t="shared" ref="BE17:BE22" si="13">IF(ISNUMBER(BB17/BA17),BB17/BA17, " - ")</f>
        <v>1.2367149758454106</v>
      </c>
      <c r="BF17" s="137">
        <f t="shared" ref="BF17:BF22" si="14">IF(ISNUMBER(BC17/BA17),BC17/BA17, " - ")</f>
        <v>0.12258454106280194</v>
      </c>
      <c r="BG17" s="209">
        <f t="shared" si="11"/>
        <v>2.1799516908212562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222</v>
      </c>
      <c r="K18" s="196">
        <v>223</v>
      </c>
      <c r="L18" s="196">
        <v>64</v>
      </c>
      <c r="M18" s="196">
        <v>53</v>
      </c>
      <c r="N18" s="196">
        <v>128</v>
      </c>
      <c r="O18" s="196">
        <v>12</v>
      </c>
      <c r="P18" s="196">
        <v>11</v>
      </c>
      <c r="Q18" s="196">
        <v>12</v>
      </c>
      <c r="R18" s="196">
        <v>25</v>
      </c>
      <c r="S18" s="196">
        <v>60</v>
      </c>
      <c r="T18" s="196">
        <v>182</v>
      </c>
      <c r="U18" s="196">
        <v>187</v>
      </c>
      <c r="V18" s="196">
        <v>60</v>
      </c>
      <c r="W18" s="196">
        <v>53</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182</v>
      </c>
      <c r="BA18" s="139">
        <f t="shared" si="15"/>
        <v>187</v>
      </c>
      <c r="BB18" s="139">
        <f t="shared" si="15"/>
        <v>60</v>
      </c>
      <c r="BC18" s="135">
        <f>IF(ISNUMBER(W18),W18," - ")</f>
        <v>53</v>
      </c>
      <c r="BD18" s="136">
        <f>IF(ISNUMBER(BA18/AZ18),BA18/AZ18," - ")</f>
        <v>1.0274725274725274</v>
      </c>
      <c r="BE18" s="137">
        <f>IF(ISNUMBER(BB18/BA18),BB18/BA18, " - ")</f>
        <v>0.32085561497326204</v>
      </c>
      <c r="BF18" s="137">
        <f>IF(ISNUMBER(BC18/BA18),BC18/BA18, " - ")</f>
        <v>0.28342245989304815</v>
      </c>
      <c r="BG18" s="209">
        <f>IF(ISNUMBER((AY18+AZ18)/BA18),(AY18+AZ18)/BA18," - ")</f>
        <v>1.2941176470588236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2197</v>
      </c>
      <c r="J23" s="197">
        <f t="shared" si="21"/>
        <v>1934</v>
      </c>
      <c r="K23" s="197">
        <f t="shared" si="21"/>
        <v>2035</v>
      </c>
      <c r="L23" s="197">
        <f t="shared" si="21"/>
        <v>1861</v>
      </c>
      <c r="M23" s="197">
        <f t="shared" si="21"/>
        <v>292</v>
      </c>
      <c r="N23" s="197">
        <f t="shared" si="21"/>
        <v>1403</v>
      </c>
      <c r="O23" s="197">
        <f t="shared" si="21"/>
        <v>44</v>
      </c>
      <c r="P23" s="197">
        <f t="shared" si="21"/>
        <v>68</v>
      </c>
      <c r="Q23" s="197">
        <f t="shared" si="21"/>
        <v>103</v>
      </c>
      <c r="R23" s="197">
        <f t="shared" si="21"/>
        <v>460</v>
      </c>
      <c r="S23" s="197">
        <f t="shared" si="21"/>
        <v>2013</v>
      </c>
      <c r="T23" s="197">
        <f t="shared" si="21"/>
        <v>1839</v>
      </c>
      <c r="U23" s="197">
        <f t="shared" si="21"/>
        <v>1843</v>
      </c>
      <c r="V23" s="197">
        <f t="shared" si="21"/>
        <v>2108</v>
      </c>
      <c r="W23" s="197">
        <f t="shared" si="21"/>
        <v>256</v>
      </c>
      <c r="X23" s="197">
        <f t="shared" si="21"/>
        <v>1332</v>
      </c>
      <c r="Y23" s="197">
        <f t="shared" si="21"/>
        <v>0</v>
      </c>
      <c r="Z23" s="197">
        <f t="shared" si="21"/>
        <v>0</v>
      </c>
      <c r="AA23" s="197">
        <f t="shared" si="21"/>
        <v>0</v>
      </c>
      <c r="AB23" s="197">
        <f t="shared" si="21"/>
        <v>0</v>
      </c>
      <c r="AC23" s="197">
        <f t="shared" si="21"/>
        <v>13</v>
      </c>
      <c r="AD23" s="197">
        <f t="shared" si="21"/>
        <v>78</v>
      </c>
      <c r="AE23" s="197">
        <f t="shared" si="21"/>
        <v>20</v>
      </c>
      <c r="AF23" s="197">
        <f t="shared" si="21"/>
        <v>71</v>
      </c>
      <c r="AG23" s="197">
        <f t="shared" si="21"/>
        <v>0</v>
      </c>
      <c r="AH23" s="197">
        <f t="shared" si="21"/>
        <v>0</v>
      </c>
      <c r="AI23" s="197">
        <f t="shared" si="21"/>
        <v>0</v>
      </c>
      <c r="AJ23" s="197">
        <f t="shared" si="21"/>
        <v>0</v>
      </c>
      <c r="AK23" s="197">
        <f t="shared" si="21"/>
        <v>9</v>
      </c>
      <c r="AL23" s="197">
        <f t="shared" si="21"/>
        <v>1</v>
      </c>
      <c r="AM23" s="197">
        <f t="shared" si="21"/>
        <v>0</v>
      </c>
      <c r="AN23" s="197">
        <f t="shared" si="21"/>
        <v>10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2013</v>
      </c>
      <c r="AZ23" s="197">
        <f>SUBTOTAL(9,AZ15:AZ22)</f>
        <v>1839</v>
      </c>
      <c r="BA23" s="197">
        <f>SUBTOTAL(9,BA15:BA22)</f>
        <v>1843</v>
      </c>
      <c r="BB23" s="197">
        <f>SUBTOTAL(9,BB15:BB22)</f>
        <v>2108</v>
      </c>
      <c r="BC23" s="197">
        <f>SUBTOTAL(9,BC15:BC22)</f>
        <v>256</v>
      </c>
      <c r="BD23" s="219">
        <f>IF(ISNUMBER(BA23/AZ23),BA23/AZ23," - ")</f>
        <v>1.0021750951604134</v>
      </c>
      <c r="BE23" s="220">
        <f>IF(ISNUMBER(BB23/BA23),BB23/BA23, " - ")</f>
        <v>1.1437873033098209</v>
      </c>
      <c r="BF23" s="220">
        <f>IF(ISNUMBER(BC23/BA23),BC23/BA23, " - ")</f>
        <v>0.13890396093326099</v>
      </c>
      <c r="BG23" s="221">
        <f>IF(ISNUMBER((AY23+AZ23)/BA23),(AY23+AZ23)/BA23," - ")</f>
        <v>2.0900705371676613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8115</v>
      </c>
      <c r="J31" s="144">
        <f t="shared" si="36"/>
        <v>3979</v>
      </c>
      <c r="K31" s="144">
        <f t="shared" si="36"/>
        <v>4192</v>
      </c>
      <c r="L31" s="144">
        <f t="shared" si="36"/>
        <v>7803</v>
      </c>
      <c r="M31" s="144">
        <f t="shared" si="36"/>
        <v>689</v>
      </c>
      <c r="N31" s="144">
        <f t="shared" si="36"/>
        <v>2795</v>
      </c>
      <c r="O31" s="144">
        <f t="shared" si="36"/>
        <v>766</v>
      </c>
      <c r="P31" s="144">
        <f t="shared" si="36"/>
        <v>305</v>
      </c>
      <c r="Q31" s="144">
        <f t="shared" si="36"/>
        <v>508</v>
      </c>
      <c r="R31" s="144">
        <f t="shared" si="36"/>
        <v>6643</v>
      </c>
      <c r="S31" s="144">
        <f t="shared" si="36"/>
        <v>7958</v>
      </c>
      <c r="T31" s="144">
        <f t="shared" si="36"/>
        <v>3210</v>
      </c>
      <c r="U31" s="144">
        <f t="shared" si="36"/>
        <v>3352</v>
      </c>
      <c r="V31" s="144">
        <f t="shared" si="36"/>
        <v>7859</v>
      </c>
      <c r="W31" s="144">
        <f t="shared" si="36"/>
        <v>568</v>
      </c>
      <c r="X31" s="144">
        <f t="shared" si="36"/>
        <v>1873</v>
      </c>
      <c r="Y31" s="144">
        <f t="shared" si="36"/>
        <v>125</v>
      </c>
      <c r="Z31" s="144">
        <f t="shared" si="36"/>
        <v>111</v>
      </c>
      <c r="AA31" s="144">
        <f t="shared" si="36"/>
        <v>106</v>
      </c>
      <c r="AB31" s="144">
        <f t="shared" si="36"/>
        <v>124</v>
      </c>
      <c r="AC31" s="144">
        <f t="shared" si="36"/>
        <v>13</v>
      </c>
      <c r="AD31" s="144">
        <f t="shared" si="36"/>
        <v>78</v>
      </c>
      <c r="AE31" s="144">
        <f t="shared" si="36"/>
        <v>20</v>
      </c>
      <c r="AF31" s="144">
        <f t="shared" si="36"/>
        <v>71</v>
      </c>
      <c r="AG31" s="144">
        <f t="shared" si="36"/>
        <v>87</v>
      </c>
      <c r="AH31" s="144">
        <f t="shared" si="36"/>
        <v>99</v>
      </c>
      <c r="AI31" s="144">
        <f t="shared" si="36"/>
        <v>94</v>
      </c>
      <c r="AJ31" s="144">
        <f t="shared" si="36"/>
        <v>92</v>
      </c>
      <c r="AK31" s="144">
        <f t="shared" si="36"/>
        <v>9</v>
      </c>
      <c r="AL31" s="144">
        <f t="shared" si="36"/>
        <v>1</v>
      </c>
      <c r="AM31" s="144">
        <f t="shared" si="36"/>
        <v>0</v>
      </c>
      <c r="AN31" s="224">
        <f t="shared" si="36"/>
        <v>10</v>
      </c>
      <c r="AO31" s="225">
        <v>8</v>
      </c>
      <c r="AP31" s="225">
        <v>7</v>
      </c>
      <c r="AQ31" s="225">
        <v>7</v>
      </c>
      <c r="AR31" s="225">
        <v>7</v>
      </c>
      <c r="AS31" s="166">
        <f t="shared" si="36"/>
        <v>0</v>
      </c>
      <c r="AT31" s="166">
        <f t="shared" si="36"/>
        <v>0</v>
      </c>
      <c r="AU31" s="225"/>
      <c r="AV31" s="226"/>
      <c r="AW31" s="225"/>
      <c r="AX31" s="226"/>
      <c r="AY31" s="143">
        <f>SUBTOTAL(9,AY9:AY30)</f>
        <v>8045</v>
      </c>
      <c r="AZ31" s="144">
        <f>SUBTOTAL(9,AZ9:AZ30)</f>
        <v>3309</v>
      </c>
      <c r="BA31" s="144">
        <f>SUBTOTAL(9,BA9:BA30)</f>
        <v>3446</v>
      </c>
      <c r="BB31" s="144">
        <f>SUBTOTAL(9,BB9:BB30)</f>
        <v>7951</v>
      </c>
      <c r="BC31" s="145">
        <f>SUBTOTAL(9,BC9:BC30)</f>
        <v>801</v>
      </c>
      <c r="BD31" s="227">
        <f>IF(ISNUMBER(BA31/AZ31),BA31/AZ31," - ")</f>
        <v>1.0414022363251738</v>
      </c>
      <c r="BE31" s="224">
        <f>IF(ISNUMBER(BB31/BA31),BB31/BA31, " - ")</f>
        <v>2.3073128264654672</v>
      </c>
      <c r="BF31" s="224">
        <f>IF(ISNUMBER(BC31/BA31),BC31/BA31, " - ")</f>
        <v>0.23244341265235055</v>
      </c>
      <c r="BG31" s="145">
        <f>IF(ISNUMBER((AY31+AZ31)/BA31),(AY31+AZ31)/BA31," - ")</f>
        <v>3.2948345908299479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ZmztgkdGmaWtJPUys72965G69QyapkXd0pLSaYCGw8OzJgpJgPQkd5sVoHtB8v/Woy+IMsWEP39HUTfmHqQBQ==" saltValue="0ktLaGYiONbFV0jbLMGx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94cKX2KMm7gMuwKHK6F6pZyP/vXZ5ZuNNRog9abYcDxCki45t2oKwjxJYMWz5Mi3UM3GmKZHN4E/GclGXw+Ow==" saltValue="3Z/uMw+a2/aaMud4nFrW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PUERTO DEL ROSARIO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46</v>
      </c>
      <c r="G10" s="543">
        <f>IF(ISNUMBER(Datos!I10),Datos!I10," - ")</f>
        <v>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2</v>
      </c>
      <c r="AD10" s="549"/>
      <c r="AE10" s="563"/>
      <c r="AF10" s="551">
        <f>IF(ISNUMBER(Datos!L10),Datos!L10,"-")</f>
        <v>36</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21</v>
      </c>
      <c r="BE10" s="693" t="str">
        <f>IF(ISNUMBER(Datos!BW10),Datos!BW10," - ")</f>
        <v xml:space="preserve"> - </v>
      </c>
      <c r="BF10" s="762" t="str">
        <f>IF(ISNUMBER(Datos!BX10),Datos!BX10," - ")</f>
        <v xml:space="preserve"> - </v>
      </c>
      <c r="BG10" s="763">
        <f>IF(ISNUMBER(Datos!K10/Datos!J10),Datos!K10/Datos!J10," - ")</f>
        <v>1.3703703703703705</v>
      </c>
      <c r="BH10" s="764">
        <f>IF(ISNUMBER(((Datos!L10/Datos!K10)*11)/factor_trimestre),((Datos!L10/Datos!K10)*11)/factor_trimestre," - ")</f>
        <v>1.9459459459459461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235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124</v>
      </c>
      <c r="AI12" s="549" t="str">
        <f>IF(ISNUMBER(Datos!CD12),Datos!CD12,"-")</f>
        <v>-</v>
      </c>
      <c r="AJ12" s="549" t="str">
        <f>IF(ISNUMBER(Datos!EN12),Datos!EN12," - ")</f>
        <v xml:space="preserve"> - </v>
      </c>
      <c r="AK12" s="549"/>
      <c r="AL12" s="550"/>
      <c r="AM12" s="766">
        <f>IF(ISNUMBER(Datos!R12),Datos!R12," - ")</f>
        <v>6166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384</v>
      </c>
      <c r="BD12" s="693">
        <f>IF(ISNUMBER(Datos!N12),Datos!N12," - ")</f>
        <v>1371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1.0455612963832785</v>
      </c>
      <c r="BH12" s="764">
        <f>IF(ISNUMBER(((IF(J_V="SI",Datos!L12/Datos!K12,(Datos!L12+Datos!AB12)/(Datos!K12+Datos!AA12)))*11)/factor_trimestre),((IF(J_V="SI",Datos!L12/Datos!K12,(Datos!L12+Datos!AB12)/(Datos!K12+Datos!AA12)))*11)/factor_trimestre," - ")</f>
        <v>5.4177897574123985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-2.6523523839595831E-2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46</v>
      </c>
      <c r="G14" s="1197">
        <f t="shared" si="1"/>
        <v>45</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405</v>
      </c>
      <c r="AD14" s="1198">
        <f t="shared" si="2"/>
        <v>0</v>
      </c>
      <c r="AE14" s="1198">
        <f t="shared" si="2"/>
        <v>0</v>
      </c>
      <c r="AF14" s="1198">
        <f t="shared" si="2"/>
        <v>36</v>
      </c>
      <c r="AG14" s="1198">
        <f t="shared" si="2"/>
        <v>0</v>
      </c>
      <c r="AH14" s="1198">
        <f t="shared" si="2"/>
        <v>124</v>
      </c>
      <c r="AI14" s="1198">
        <f t="shared" si="2"/>
        <v>0</v>
      </c>
      <c r="AJ14" s="1198">
        <f t="shared" si="2"/>
        <v>0</v>
      </c>
      <c r="AK14" s="1198">
        <f t="shared" si="2"/>
        <v>0</v>
      </c>
      <c r="AL14" s="1198">
        <f t="shared" si="2"/>
        <v>0</v>
      </c>
      <c r="AM14" s="1198">
        <f t="shared" si="2"/>
        <v>6183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397</v>
      </c>
      <c r="BD14" s="1198">
        <f t="shared" si="2"/>
        <v>1392</v>
      </c>
      <c r="BE14" s="1198">
        <f t="shared" si="2"/>
        <v>0</v>
      </c>
      <c r="BF14" s="1198">
        <f t="shared" si="2"/>
        <v>0</v>
      </c>
      <c r="BG14" s="1198">
        <f>IF(ISNUMBER(Datos!K14/Datos!J14),Datos!K14/Datos!J14," - ")</f>
        <v>1.0547677261613693</v>
      </c>
      <c r="BH14" s="1202">
        <f>IF(ISNUMBER(((Datos!L14/Datos!K14)*11)/factor_trimestre),((Datos!L14/Datos!K14)*11)/factor_trimestre," - ")</f>
        <v>5.5095039406583215</v>
      </c>
      <c r="BI14" s="1198">
        <f>IF(ISNUMBER('Resol  Asuntos'!D14/NºAsuntos!G14),'Resol  Asuntos'!D14/NºAsuntos!G14," - ")</f>
        <v>0.17543084401237297</v>
      </c>
      <c r="BJ14" s="1198" t="str">
        <f>IF(ISNUMBER(Datos!CI14/Datos!CJ14),Datos!CI14/Datos!CJ14," - ")</f>
        <v xml:space="preserve"> - </v>
      </c>
      <c r="BK14" s="1198">
        <f>SUBTOTAL(9,BK8:BK13)</f>
        <v>0</v>
      </c>
      <c r="BL14" s="1198">
        <f>IF(ISNUMBER((I14-AB14+L14)/(F14)),(I14-AB14+L14)/(F14)," - ")</f>
        <v>-0.80434782608695654</v>
      </c>
      <c r="BM14" s="1203">
        <f>SUBTOTAL(9,BM9:BM13)</f>
        <v>-2.6523523839595831E-2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1897</v>
      </c>
      <c r="G17" s="743">
        <f>IF(ISNUMBER(IF(D_I="SI",Datos!I17,Datos!I17+Datos!AC17)),IF(D_I="SI",Datos!I17,Datos!I17+Datos!AC17)," - ")</f>
        <v>2136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1812</v>
      </c>
      <c r="AC17" s="240">
        <f>IF(ISNUMBER(Datos!Q17),Datos!Q17," - ")</f>
        <v>91</v>
      </c>
      <c r="AD17" s="374"/>
      <c r="AE17" s="562"/>
      <c r="AF17" s="741">
        <f>IF(ISNUMBER(IF(D_I="SI",Datos!L17,Datos!L17+Datos!AF17)),IF(D_I="SI",Datos!L17,Datos!L17+Datos!AF17)," - ")</f>
        <v>1797</v>
      </c>
      <c r="AG17" s="374"/>
      <c r="AH17" s="374"/>
      <c r="AI17" s="374"/>
      <c r="AJ17" s="549"/>
      <c r="AK17" s="374"/>
      <c r="AL17" s="545"/>
      <c r="AM17" s="375">
        <f>IF(ISNUMBER(Datos!R17),Datos!R17," - ")</f>
        <v>435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239</v>
      </c>
      <c r="BD17" s="243">
        <f>IF(ISNUMBER(Datos!N17),Datos!N17," - ")</f>
        <v>1275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1.058411214953271</v>
      </c>
      <c r="BH17" s="764">
        <f>IF(ISNUMBER(((IF(D_I="SI",Datos!L17/Datos!K17,(Datos!L17+Datos!AF17)/(Datos!K17+Datos!AE17)))*11)/factor_trimestre),((IF(D_I="SI",Datos!L17/Datos!K17,(Datos!L17+Datos!AF17)/(Datos!K17+Datos!AE17)))*11)/factor_trimestre," - ")</f>
        <v>1.9834437086092718</v>
      </c>
      <c r="BI17" s="266">
        <f>IF(ISNUMBER('Resol  Asuntos'!D17/NºAsuntos!G17),'Resol  Asuntos'!D17/NºAsuntos!G17," - ")</f>
        <v>0.13189845474613687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223</v>
      </c>
      <c r="AC18" s="547">
        <f>IF(ISNUMBER(Datos!Q18),Datos!Q18," - ")</f>
        <v>12</v>
      </c>
      <c r="AD18" s="549"/>
      <c r="AE18" s="562"/>
      <c r="AF18" s="551">
        <f>IF(ISNUMBER(Datos!L18),Datos!L18,"-")</f>
        <v>64</v>
      </c>
      <c r="AG18" s="549"/>
      <c r="AH18" s="549"/>
      <c r="AI18" s="549"/>
      <c r="AJ18" s="549"/>
      <c r="AK18" s="549"/>
      <c r="AL18" s="550"/>
      <c r="AM18" s="766">
        <f>IF(ISNUMBER(Datos!R18),Datos!R18," - ")</f>
        <v>25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53</v>
      </c>
      <c r="BD18" s="693">
        <f>IF(ISNUMBER(Datos!N18),Datos!N18," - ")</f>
        <v>128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1.0045045045045045</v>
      </c>
      <c r="BH18" s="764">
        <f>IF(ISNUMBER(((IF(D_I="SI",Datos!L18/Datos!K18,(Datos!L18+Datos!AF18)/(Datos!K18+Datos!AE18)))*11)/factor_trimestre),((IF(D_I="SI",Datos!L18/Datos!K18,(Datos!L18+Datos!AF18)/(Datos!K18+Datos!AE18)))*11)/factor_trimestre," - ")</f>
        <v>0.57399103139013452</v>
      </c>
      <c r="BI18" s="763">
        <f>IF(ISNUMBER('Resol  Asuntos'!D18/NºAsuntos!G18),'Resol  Asuntos'!D18/NºAsuntos!G18," - ")</f>
        <v>0.23766816143497757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1897</v>
      </c>
      <c r="G23" s="1197">
        <f>SUBTOTAL(9,G16:G22)</f>
        <v>2197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2035</v>
      </c>
      <c r="AC23" s="1198">
        <f t="shared" si="5"/>
        <v>103</v>
      </c>
      <c r="AD23" s="1198">
        <f t="shared" si="5"/>
        <v>0</v>
      </c>
      <c r="AE23" s="1198">
        <f t="shared" si="5"/>
        <v>0</v>
      </c>
      <c r="AF23" s="1198">
        <f t="shared" si="5"/>
        <v>1861</v>
      </c>
      <c r="AG23" s="1198">
        <f t="shared" si="5"/>
        <v>0</v>
      </c>
      <c r="AH23" s="1198">
        <f t="shared" si="5"/>
        <v>0</v>
      </c>
      <c r="AI23" s="1198">
        <f t="shared" si="5"/>
        <v>0</v>
      </c>
      <c r="AJ23" s="1198">
        <f t="shared" si="5"/>
        <v>0</v>
      </c>
      <c r="AK23" s="1198">
        <f t="shared" si="5"/>
        <v>0</v>
      </c>
      <c r="AL23" s="1198">
        <f t="shared" si="5"/>
        <v>0</v>
      </c>
      <c r="AM23" s="1198">
        <f t="shared" si="5"/>
        <v>460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292</v>
      </c>
      <c r="BD23" s="1198">
        <f t="shared" si="5"/>
        <v>1403</v>
      </c>
      <c r="BE23" s="1198">
        <f t="shared" si="5"/>
        <v>0</v>
      </c>
      <c r="BF23" s="1198">
        <f t="shared" si="5"/>
        <v>0</v>
      </c>
      <c r="BG23" s="1198">
        <f>IF(ISNUMBER(Datos!K23/Datos!J23),Datos!K23/Datos!J23," - ")</f>
        <v>1.0522233712512927</v>
      </c>
      <c r="BH23" s="1202">
        <f>IF(ISNUMBER(((Datos!L23/Datos!K23)*11)/factor_trimestre),((Datos!L23/Datos!K23)*11)/factor_trimestre," - ")</f>
        <v>1.828992628992629</v>
      </c>
      <c r="BI23" s="1198">
        <f>SUBTOTAL(9,BI16:BI22)</f>
        <v>0.36956661618111442</v>
      </c>
      <c r="BJ23" s="1198">
        <f>SUBTOTAL(9,BJ16:BJ22)</f>
        <v>0</v>
      </c>
      <c r="BK23" s="1198">
        <f>SUBTOTAL(9,BK16:BK22)</f>
        <v>0</v>
      </c>
      <c r="BL23" s="1198">
        <f>IF(ISNUMBER((I23-AB23+L23)/(F23)),(I23-AB23+L23)/(F23)," - ")</f>
        <v>-1.0727464417501318</v>
      </c>
      <c r="BM23" s="1205">
        <f>IF(ISNUMBER((Datos!P23-Datos!Q23)/(Datos!R23-Datos!P23+Datos!Q23)),(Datos!P23-Datos!Q23)/(Datos!R23-Datos!P23+Datos!Q23)," - ")</f>
        <v>-7.0707070707070704E-2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1943</v>
      </c>
      <c r="G31" s="1117">
        <f t="shared" si="18"/>
        <v>2242</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305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2072</v>
      </c>
      <c r="AC31" s="1118">
        <f t="shared" si="19"/>
        <v>508</v>
      </c>
      <c r="AD31" s="1118">
        <f t="shared" si="19"/>
        <v>0</v>
      </c>
      <c r="AE31" s="1118">
        <f t="shared" si="19"/>
        <v>0</v>
      </c>
      <c r="AF31" s="1125">
        <f t="shared" si="19"/>
        <v>1897</v>
      </c>
      <c r="AG31" s="1125">
        <f t="shared" si="19"/>
        <v>0</v>
      </c>
      <c r="AH31" s="1125">
        <f t="shared" si="19"/>
        <v>124</v>
      </c>
      <c r="AI31" s="1125">
        <f t="shared" si="19"/>
        <v>0</v>
      </c>
      <c r="AJ31" s="1118">
        <f t="shared" si="19"/>
        <v>0</v>
      </c>
      <c r="AK31" s="1125">
        <f t="shared" si="19"/>
        <v>0</v>
      </c>
      <c r="AL31" s="1125">
        <f t="shared" si="19"/>
        <v>0</v>
      </c>
      <c r="AM31" s="1125">
        <f t="shared" si="19"/>
        <v>6643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689</v>
      </c>
      <c r="BD31" s="1117">
        <f t="shared" si="19"/>
        <v>2795</v>
      </c>
      <c r="BE31" s="1117">
        <f t="shared" si="19"/>
        <v>0</v>
      </c>
      <c r="BF31" s="1127">
        <f t="shared" si="19"/>
        <v>0</v>
      </c>
      <c r="BG31" s="1223">
        <f>IF(ISNUMBER(Datos!K31/Datos!J31),Datos!K31/Datos!J31," - ")</f>
        <v>1.0535310379492335</v>
      </c>
      <c r="BH31" s="1223">
        <f>IF(ISNUMBER(((Datos!L31/Datos!K31)*11)/factor_trimestre),((Datos!L31/Datos!K31)*11)/factor_trimestre," - ")</f>
        <v>3.7228053435114505</v>
      </c>
      <c r="BI31" s="1103">
        <f>IF(ISNUMBER(Datos!J31/Datos!I31),Datos!J31/Datos!I31," - ")</f>
        <v>0.49032655576093653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-1.0663921770458054</v>
      </c>
      <c r="BM31" s="1188">
        <f>IF(ISNUMBER((Datos!P31-Datos!Q31+R31)/(Datos!R31-Datos!P31+Datos!Q31-R31)),(Datos!P31-Datos!Q31+R31)/(Datos!R31-Datos!P31+Datos!Q31-R31)," - ")</f>
        <v>-2.9652351738241309E-2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967.94807023242049</v>
      </c>
      <c r="G33" s="674">
        <f>IF(ISNUMBER(STDEV(G8:G30)),STDEV(G8:G30),"-")</f>
        <v>1042.8129997180474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915.03988984087459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174.46551030422685</v>
      </c>
      <c r="BD33" s="673"/>
      <c r="BE33" s="673">
        <f>IF(ISNUMBER(STDEV(BE8:BE30)),STDEV(BE8:BE30),"-")</f>
        <v>0</v>
      </c>
      <c r="BF33" s="678">
        <f>IF(ISNUMBER(STDEV(BF8:BF30)),STDEV(BF8:BF30),"-")</f>
        <v>0</v>
      </c>
      <c r="BG33" s="1052">
        <f>IF(ISNUMBER(STDEV(BG8:BG30)),STDEV(BG8:BG30),"-")</f>
        <v>0.1350613685853958</v>
      </c>
      <c r="BH33" s="1058">
        <f>IF(ISNUMBER(STDEV(BH8:BH30)),STDEV(BH8:BH30),"-")</f>
        <v>2.0713842201992851</v>
      </c>
      <c r="BI33" s="273">
        <f>IF(ISNUMBER(STDEV(BI8:BI30)),STDEV(BI8:BI30),"-")</f>
        <v>0.10349228586714702</v>
      </c>
      <c r="BJ33" s="244" t="str">
        <f>IF(ISNUMBER(BL33/BM33),BL33/BM33," - ")</f>
        <v xml:space="preserve"> - </v>
      </c>
      <c r="BK33" s="709"/>
      <c r="BL33" s="681">
        <f>IF(ISNUMBER(STDEV(BL8:BL30)),STDEV(BL8:BL30),"-")</f>
        <v>0.18978648119651326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8OorLPyz4OX9fwq92DvgY9w75Or7Yv4NdNVQvYQwVryyZT2hMZeE80V0Nr1iLpP5V5eq1oPsiHVun2jzU/zmA==" saltValue="rgrBr9k+xuSVTHdz3lQ7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PUERTO DEL ROSARIO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46</v>
      </c>
      <c r="G10" s="552">
        <f>IF(ISNUMBER(Datos!I10),Datos!I10," - ")</f>
        <v>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2</v>
      </c>
      <c r="AA10" s="551">
        <f>IF(ISNUMBER(Datos!L10),Datos!L10,"-")</f>
        <v>36</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13</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1.9459459459459461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403</v>
      </c>
      <c r="AA12" s="551" t="str">
        <f>IF(ISNUMBER(IF(J_V="SI",Datos!L12,Datos!L12+Datos!AB12)-IF(Monitorios="SI",Datos!CD12,0)),
                          IF(J_V="SI",Datos!L12,Datos!L12+Datos!AB12)-IF(Monitorios="SI",Datos!CD12,0),
                          " - ")</f>
        <v xml:space="preserve"> - </v>
      </c>
      <c r="AB12" s="549"/>
      <c r="AC12" s="549"/>
      <c r="AD12" s="563"/>
      <c r="AE12" s="563">
        <f>IF(ISNUMBER(Datos!R12),Datos!R12," - ")</f>
        <v>6166</v>
      </c>
      <c r="AF12" s="693" t="str">
        <f>IF(ISNUMBER(Datos!BV12),Datos!BV12," - ")</f>
        <v xml:space="preserve"> - </v>
      </c>
      <c r="AG12" s="552" t="str">
        <f>IF(ISNUMBER(Datos!DV12),Datos!DV12," - ")</f>
        <v xml:space="preserve"> - </v>
      </c>
      <c r="AH12" s="553"/>
      <c r="AI12" s="554"/>
      <c r="AJ12" s="552">
        <f>IF(ISNUMBER(Datos!M12),Datos!M12," - ")</f>
        <v>384</v>
      </c>
      <c r="AK12" s="693">
        <f>IF(ISNUMBER(Datos!N12),Datos!N12," - ")</f>
        <v>1371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5.4177897574123985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-2.6523523839595831E-2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46</v>
      </c>
      <c r="G14" s="1197">
        <f>SUBTOTAL(9,G8:G13)</f>
        <v>45</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405</v>
      </c>
      <c r="AA14" s="1199">
        <f t="shared" si="3"/>
        <v>36</v>
      </c>
      <c r="AB14" s="1199">
        <f t="shared" si="3"/>
        <v>0</v>
      </c>
      <c r="AC14" s="1199">
        <f t="shared" si="3"/>
        <v>0</v>
      </c>
      <c r="AD14" s="1199">
        <f t="shared" si="3"/>
        <v>0</v>
      </c>
      <c r="AE14" s="1199">
        <f t="shared" si="3"/>
        <v>6183</v>
      </c>
      <c r="AF14" s="1211">
        <f t="shared" si="3"/>
        <v>0</v>
      </c>
      <c r="AG14" s="1211">
        <f t="shared" si="3"/>
        <v>0</v>
      </c>
      <c r="AH14" s="1211">
        <f t="shared" si="3"/>
        <v>0</v>
      </c>
      <c r="AI14" s="1211">
        <f t="shared" si="3"/>
        <v>0</v>
      </c>
      <c r="AJ14" s="1211">
        <f t="shared" si="3"/>
        <v>397</v>
      </c>
      <c r="AK14" s="1211">
        <f t="shared" si="3"/>
        <v>1392</v>
      </c>
      <c r="AL14" s="1211">
        <f t="shared" si="3"/>
        <v>0</v>
      </c>
      <c r="AM14" s="1211">
        <f t="shared" si="3"/>
        <v>0</v>
      </c>
      <c r="AN14" s="1211">
        <f t="shared" si="3"/>
        <v>0</v>
      </c>
      <c r="AO14" s="1203">
        <f>IF(ISNUMBER(((NºAsuntos!I14/NºAsuntos!G14)*11)/factor_trimestre),((NºAsuntos!I14/NºAsuntos!G14)*11)/factor_trimestre," - ")</f>
        <v>5.3610251878038007</v>
      </c>
      <c r="AP14" s="1213" t="str">
        <f>IF(ISNUMBER(Datos!CI14/Datos!CJ14),Datos!CI14/Datos!CJ14," - ")</f>
        <v xml:space="preserve"> - </v>
      </c>
      <c r="AQ14" s="1236">
        <f t="shared" ref="AQ14:AV14" si="4">SUBTOTAL(9,AQ9:AQ13)</f>
        <v>0</v>
      </c>
      <c r="AR14" s="1236">
        <f t="shared" si="4"/>
        <v>-2.6523523839595831E-2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1897</v>
      </c>
      <c r="G17" s="552">
        <f>IF(ISNUMBER(IF(D_I="SI",Datos!I17,Datos!I17+Datos!AC17)),IF(D_I="SI",Datos!I17,Datos!I17+Datos!AC17)," - ")</f>
        <v>2136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1812</v>
      </c>
      <c r="Z17" s="805">
        <f>IF(ISNUMBER(Datos!Q17),Datos!Q17," - ")</f>
        <v>91</v>
      </c>
      <c r="AA17" s="551">
        <f>IF(ISNUMBER(IF(D_I="SI",Datos!L17,Datos!L17+Datos!AF17)),IF(D_I="SI",Datos!L17,Datos!L17+Datos!AF17)," - ")</f>
        <v>1797</v>
      </c>
      <c r="AB17" s="549"/>
      <c r="AC17" s="549"/>
      <c r="AD17" s="563"/>
      <c r="AE17" s="563">
        <f>IF(ISNUMBER(Datos!R17),Datos!R17," - ")</f>
        <v>435</v>
      </c>
      <c r="AF17" s="693" t="str">
        <f>IF(ISNUMBER(Datos!BV17),Datos!BV17," - ")</f>
        <v xml:space="preserve"> - </v>
      </c>
      <c r="AG17" s="552"/>
      <c r="AH17" s="553"/>
      <c r="AI17" s="554"/>
      <c r="AJ17" s="552">
        <f>IF(ISNUMBER(Datos!M17),Datos!M17," - ")</f>
        <v>239</v>
      </c>
      <c r="AK17" s="693">
        <f>IF(ISNUMBER(Datos!N17),Datos!N17," - ")</f>
        <v>1275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1.9834437086092718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223</v>
      </c>
      <c r="Z18" s="805">
        <f>IF(ISNUMBER(Datos!Q18),Datos!Q18," - ")</f>
        <v>12</v>
      </c>
      <c r="AA18" s="551">
        <f>IF(ISNUMBER(Datos!L18),Datos!L18,"-")</f>
        <v>64</v>
      </c>
      <c r="AB18" s="549"/>
      <c r="AC18" s="549"/>
      <c r="AD18" s="563"/>
      <c r="AE18" s="563">
        <f>IF(ISNUMBER(Datos!R18),Datos!R18," - ")</f>
        <v>25</v>
      </c>
      <c r="AF18" s="693" t="str">
        <f>IF(ISNUMBER(Datos!BV18),Datos!BV18," - ")</f>
        <v xml:space="preserve"> - </v>
      </c>
      <c r="AG18" s="552" t="str">
        <f>IF(ISNUMBER(Datos!DV18),Datos!DV18," - ")</f>
        <v xml:space="preserve"> - </v>
      </c>
      <c r="AH18" s="553"/>
      <c r="AI18" s="554"/>
      <c r="AJ18" s="552">
        <f>IF(ISNUMBER(Datos!M18),Datos!M18," - ")</f>
        <v>53</v>
      </c>
      <c r="AK18" s="693">
        <f>IF(ISNUMBER(Datos!N18),Datos!N18," - ")</f>
        <v>128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0.57399103139013452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1897</v>
      </c>
      <c r="G23" s="1197">
        <f>SUBTOTAL(9,G16:G22)</f>
        <v>2197</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2035</v>
      </c>
      <c r="Z23" s="1240">
        <f t="shared" si="6"/>
        <v>103</v>
      </c>
      <c r="AA23" s="1240">
        <f t="shared" si="6"/>
        <v>1861</v>
      </c>
      <c r="AB23" s="1240">
        <f t="shared" si="6"/>
        <v>0</v>
      </c>
      <c r="AC23" s="1240">
        <f t="shared" si="6"/>
        <v>0</v>
      </c>
      <c r="AD23" s="1240">
        <f t="shared" si="6"/>
        <v>0</v>
      </c>
      <c r="AE23" s="1240">
        <f t="shared" si="6"/>
        <v>460</v>
      </c>
      <c r="AF23" s="1240">
        <f t="shared" si="6"/>
        <v>0</v>
      </c>
      <c r="AG23" s="1240">
        <f t="shared" si="6"/>
        <v>0</v>
      </c>
      <c r="AH23" s="1240">
        <f t="shared" si="6"/>
        <v>0</v>
      </c>
      <c r="AI23" s="1240">
        <f t="shared" si="6"/>
        <v>0</v>
      </c>
      <c r="AJ23" s="1240">
        <f t="shared" si="6"/>
        <v>292</v>
      </c>
      <c r="AK23" s="1240">
        <f t="shared" si="6"/>
        <v>1403</v>
      </c>
      <c r="AL23" s="1240">
        <f t="shared" si="6"/>
        <v>0</v>
      </c>
      <c r="AM23" s="1240">
        <f t="shared" si="6"/>
        <v>0</v>
      </c>
      <c r="AN23" s="1240">
        <f t="shared" si="6"/>
        <v>0</v>
      </c>
      <c r="AO23" s="1242">
        <f>IF(ISNUMBER(((NºAsuntos!I23/NºAsuntos!G23)*11)/factor_trimestre),((NºAsuntos!I23/NºAsuntos!G23)*11)/factor_trimestre," - ")</f>
        <v>1.828992628992629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1943</v>
      </c>
      <c r="G31" s="1117">
        <f t="shared" si="12"/>
        <v>2242</v>
      </c>
      <c r="H31" s="1118">
        <f t="shared" si="12"/>
        <v>0</v>
      </c>
      <c r="I31" s="1117">
        <f t="shared" si="12"/>
        <v>0</v>
      </c>
      <c r="J31" s="1119">
        <f t="shared" si="12"/>
        <v>0</v>
      </c>
      <c r="K31" s="1117">
        <f t="shared" si="12"/>
        <v>0</v>
      </c>
      <c r="L31" s="1120">
        <f t="shared" si="12"/>
        <v>0</v>
      </c>
      <c r="M31" s="1117">
        <f t="shared" si="12"/>
        <v>0</v>
      </c>
      <c r="N31" s="1118">
        <f t="shared" si="12"/>
        <v>305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2072</v>
      </c>
      <c r="Z31" s="1124">
        <f t="shared" si="13"/>
        <v>508</v>
      </c>
      <c r="AA31" s="1125">
        <f t="shared" si="13"/>
        <v>1897</v>
      </c>
      <c r="AB31" s="1125">
        <f t="shared" si="13"/>
        <v>0</v>
      </c>
      <c r="AC31" s="1125">
        <f t="shared" si="13"/>
        <v>0</v>
      </c>
      <c r="AD31" s="1126">
        <f t="shared" si="13"/>
        <v>0</v>
      </c>
      <c r="AE31" s="1126">
        <f t="shared" si="13"/>
        <v>6643</v>
      </c>
      <c r="AF31" s="1127">
        <f t="shared" si="13"/>
        <v>0</v>
      </c>
      <c r="AG31" s="1128">
        <f t="shared" si="13"/>
        <v>0</v>
      </c>
      <c r="AH31" s="1129">
        <f t="shared" si="13"/>
        <v>0</v>
      </c>
      <c r="AI31" s="1127">
        <f t="shared" si="13"/>
        <v>0</v>
      </c>
      <c r="AJ31" s="1117">
        <f t="shared" si="13"/>
        <v>689</v>
      </c>
      <c r="AK31" s="1117">
        <f t="shared" si="13"/>
        <v>2795</v>
      </c>
      <c r="AL31" s="1117">
        <f t="shared" si="13"/>
        <v>0</v>
      </c>
      <c r="AM31" s="1130">
        <f t="shared" si="13"/>
        <v>0</v>
      </c>
      <c r="AN31" s="1120">
        <f>IF(ISNUMBER(Datos!K31/Datos!J31),Datos!K31/Datos!J31," - ")</f>
        <v>1.0535310379492335</v>
      </c>
      <c r="AO31" s="1120">
        <f>IF(ISNUMBER(FIND("06",Criterios!A8,1)),(IF(ISNUMBER(((Datos!R31/Datos!Q31)*11)/factor_trimestre),((Datos!R31/Datos!Q31)*11)/factor_trimestre," - ")),(IF(ISNUMBER(((Datos!L31/Datos!K31)*11)/factor_trimestre),((Datos!L31/Datos!K31)*11)/factor_trimestre," - ")))</f>
        <v>3.7228053435114505</v>
      </c>
      <c r="AP31" s="1131" t="str">
        <f>IF(ISNUMBER(Datos!CI31/Datos!CJ31),Datos!CI31/Datos!CJ31," - ")</f>
        <v xml:space="preserve"> - </v>
      </c>
      <c r="AQ31" s="1131">
        <f>IF(OR(ISNUMBER(FIND("01",Criterios!A8,1)),ISNUMBER(FIND("02",Criterios!A8,1)),ISNUMBER(FIND("03",Criterios!A8,1)),ISNUMBER(FIND("04",Criterios!A8,1))),(J31-Y31+K31)/(F31-K31),(I31-Y31+K31)/(F31-K31))</f>
        <v>-1.0663921770458054</v>
      </c>
      <c r="AR31" s="1131">
        <f>IF(ISNUMBER((Datos!P31-Datos!Q31+O31)/(Datos!R31-Datos!P31+Datos!Q31-O31)),(Datos!P31-Datos!Q31+O31)/(Datos!R31-Datos!P31+Datos!Q31-O31)," - ")</f>
        <v>-2.9652351738241309E-2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967.94807023242049</v>
      </c>
      <c r="G33" s="674">
        <f>IF(ISNUMBER(STDEV(G8:G30)),STDEV(G8:G30),"-")</f>
        <v>1042.8129997180474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174.46551030422685</v>
      </c>
      <c r="AK33" s="276"/>
      <c r="AL33" s="276">
        <f>IF(ISNUMBER(STDEV(AL8:AL30)),STDEV(AL8:AL30),"-")</f>
        <v>0</v>
      </c>
      <c r="AM33" s="278">
        <f>IF(ISNUMBER(STDEV(AM8:AM30)),STDEV(AM8:AM30),"-")</f>
        <v>0</v>
      </c>
      <c r="AN33" s="660">
        <f>IF(ISNUMBER(STDEV(AN8:AN30)),STDEV(AN8:AN30),"-")</f>
        <v>0</v>
      </c>
      <c r="AO33" s="661">
        <f>IF(ISNUMBER(STDEV(AO8:AO30)),STDEV(AO8:AO30),"-")</f>
        <v>2.0341915979002874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FV1Bv7WNO6qpKQECctMRFDxIxJjI/prX90pd/kACo5eDHC6//XSAJlaLVU0cs/aujg3yvobrDfHdwPJJSJIYw==" saltValue="sQRswM2r47IMhcku77Gh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Jen+vOhwtg5AYOBvKSlOfi+umSsqPk08WRkY0J7fJ4DiQMNDR7hzvfhsu9nnjCwZFG75Y23Q+kTws5qLlzfsQ==" saltValue="+XPHAOBq2V5dKfVJvTzi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tybX8mQdVEC2TSHYTzM0XcWBMudP3Z0SXF9GrG+XbyEwHkvqNqsiG8GR589Q3IuApeq2M+cZSFcaOcU0OT2OA==" saltValue="ObvGrVT26kdwbLstUiCX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PUERTO DEL ROSARIO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0.17543084401237297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0.12404833943042837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5gWMVgs2nyvz0bQKrjpGYqv9wAoLmJiq7GaAGCmPfsJ3YlZTxOil6q1BZONCu7l097Vwk23pCvUBE+4ER2Rpw==" saltValue="HrZSPrVG4Hn3+Lb+hl3d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CR7qrR9LAkWBHFirMl42HBOmvK4IR4qdHpVlXwOd1o1sJw5ar8VpnFMAb0eazDnAsyFHJczYzF6f5lGoCQSSg==" saltValue="cyzsiw/30ovkSn6ZSKrE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PUERTO DEL ROSARIO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45</v>
      </c>
      <c r="D10" s="452">
        <f>IF(ISNUMBER(C10/Datos!BH10),C10/Datos!BH10," - ")</f>
        <v>45</v>
      </c>
      <c r="E10" s="451">
        <f>IF(ISNUMBER(Datos!J10),Datos!J10," - ")</f>
        <v>27</v>
      </c>
      <c r="F10" s="452">
        <f>IF(ISNUMBER(E10/B10),E10/B10," - ")</f>
        <v>27</v>
      </c>
      <c r="G10" s="451">
        <f>IF(ISNUMBER(Datos!K10),Datos!K10," - ")</f>
        <v>37</v>
      </c>
      <c r="H10" s="452">
        <f>IF(ISNUMBER(G10/B10),G10/B10," - ")</f>
        <v>37</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5998</v>
      </c>
      <c r="D12" s="452">
        <f>IF(ISNUMBER(C12/Datos!BH12),C12/Datos!BH12," - ")</f>
        <v>856.85714285714289</v>
      </c>
      <c r="E12" s="451">
        <f>IF(ISNUMBER(IF(J_V="SI",Datos!J12,Datos!J12+Datos!Z12)),IF(J_V="SI",Datos!J12,Datos!J12+Datos!Z12)," - ")</f>
        <v>2129</v>
      </c>
      <c r="F12" s="452">
        <f>IF(ISNUMBER(E12/B12),E12/B12," - ")</f>
        <v>304.14285714285717</v>
      </c>
      <c r="G12" s="451">
        <f>IF(ISNUMBER(IF(J_V="SI",Datos!K12,Datos!K12+Datos!AA12)),IF(J_V="SI",Datos!K12,Datos!K12+Datos!AA12)," - ")</f>
        <v>2226</v>
      </c>
      <c r="H12" s="452">
        <f>IF(ISNUMBER(G12/B12),G12/B12," - ")</f>
        <v>318</v>
      </c>
      <c r="I12" s="451">
        <f>IF(ISNUMBER(IF(J_V="SI",Datos!L12,Datos!L12+Datos!AB12)),IF(J_V="SI",Datos!L12,Datos!L12+Datos!AB12)," - ")</f>
        <v>6030</v>
      </c>
      <c r="J12" s="452">
        <f>IF(ISNUMBER(I12/B12),I12/B12," - ")</f>
        <v>861.42857142857144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6043</v>
      </c>
      <c r="D14" s="1147" t="str">
        <f>IF(ISNUMBER(C14/Datos!BI14),C14/Datos!BI14," - ")</f>
        <v xml:space="preserve"> - </v>
      </c>
      <c r="E14" s="1146">
        <f>SUBTOTAL(9,E8:E13)</f>
        <v>2156</v>
      </c>
      <c r="F14" s="1147">
        <f>IF(ISNUMBER(E14/B14),E14/B14," - ")</f>
        <v>308</v>
      </c>
      <c r="G14" s="1146">
        <f>SUBTOTAL(9,G8:G13)</f>
        <v>2263</v>
      </c>
      <c r="H14" s="1147">
        <f>IF(ISNUMBER(G14/B14),G14/B14," - ")</f>
        <v>323.28571428571428</v>
      </c>
      <c r="I14" s="1146">
        <f>SUBTOTAL(9,I8:I13)</f>
        <v>6066</v>
      </c>
      <c r="J14" s="1147">
        <f>IF(ISNUMBER(I14/B14),I14/B14," - ")</f>
        <v>866.57142857142856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2136</v>
      </c>
      <c r="D17" s="452">
        <f>IF(ISNUMBER(C17/Datos!BH17),C17/Datos!BH17," - ")</f>
        <v>305.14285714285717</v>
      </c>
      <c r="E17" s="451">
        <f>IF(ISNUMBER(IF(D_I="SI",Datos!J17,Datos!J17+Datos!AD17)),IF(D_I="SI",Datos!J17,Datos!J17+Datos!AD17)," - ")</f>
        <v>1712</v>
      </c>
      <c r="F17" s="452">
        <f>IF(ISNUMBER(E17/B17),E17/B17," - ")</f>
        <v>244.57142857142858</v>
      </c>
      <c r="G17" s="451">
        <f>IF(ISNUMBER(IF(D_I="SI",Datos!K17,Datos!K17+Datos!AE17)),IF(D_I="SI",Datos!K17,Datos!K17+Datos!AE17)," - ")</f>
        <v>1812</v>
      </c>
      <c r="H17" s="452">
        <f>IF(ISNUMBER(G17/B17),G17/B17," - ")</f>
        <v>258.85714285714283</v>
      </c>
      <c r="I17" s="451">
        <f>IF(ISNUMBER(IF(D_I="SI",Datos!L17,Datos!L17+Datos!AF17)),IF(D_I="SI",Datos!L17,Datos!L17+Datos!AF17)," - ")</f>
        <v>1797</v>
      </c>
      <c r="J17" s="452">
        <f>IF(ISNUMBER(I17/B17),I17/B17," - ")</f>
        <v>256.71428571428572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222</v>
      </c>
      <c r="F18" s="452">
        <f>IF(ISNUMBER(E18/B18),E18/B18," - ")</f>
        <v>222</v>
      </c>
      <c r="G18" s="451">
        <f>IF(ISNUMBER(IF(D_I="SI",Datos!K18,Datos!K18+Datos!AE18)),IF(D_I="SI",Datos!K18,Datos!K18+Datos!AE18)," - ")</f>
        <v>223</v>
      </c>
      <c r="H18" s="452">
        <f>IF(ISNUMBER(G18/B18),G18/B18," - ")</f>
        <v>223</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2197</v>
      </c>
      <c r="D23" s="1147" t="str">
        <f>IF(ISNUMBER(C23/Datos!BI23),C23/Datos!BI23," - ")</f>
        <v xml:space="preserve"> - </v>
      </c>
      <c r="E23" s="1146">
        <f>SUBTOTAL(9,E15:E22)</f>
        <v>1934</v>
      </c>
      <c r="F23" s="1147">
        <f>IF(ISNUMBER(E23/B23),E23/B23," - ")</f>
        <v>276.28571428571428</v>
      </c>
      <c r="G23" s="1146">
        <f>SUBTOTAL(9,G15:G22)</f>
        <v>2035</v>
      </c>
      <c r="H23" s="1147">
        <f>IF(ISNUMBER(G23/B23),G23/B23," - ")</f>
        <v>290.71428571428572</v>
      </c>
      <c r="I23" s="1146">
        <f>SUBTOTAL(9,I15:I22)</f>
        <v>1861</v>
      </c>
      <c r="J23" s="1147">
        <f>IF(ISNUMBER(I23/B23),I23/B23," - ")</f>
        <v>265.85714285714283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8240</v>
      </c>
      <c r="D31" s="1085" t="str">
        <f>IF(ISNUMBER(C31/Datos!BI31),C31/Datos!BI31," - ")</f>
        <v xml:space="preserve"> - </v>
      </c>
      <c r="E31" s="1084">
        <f>SUBTOTAL(9,E9:E30)</f>
        <v>4090</v>
      </c>
      <c r="F31" s="1085">
        <f>IF(ISNUMBER(E31/B31),E31/B31," - ")</f>
        <v>584.28571428571433</v>
      </c>
      <c r="G31" s="1084">
        <f>SUBTOTAL(9,G9:G30)</f>
        <v>4298</v>
      </c>
      <c r="H31" s="1085">
        <f>IF(ISNUMBER(G31/B31),G31/B31," - ")</f>
        <v>614</v>
      </c>
      <c r="I31" s="1084">
        <f>SUBTOTAL(9,I9:I30)</f>
        <v>7927</v>
      </c>
      <c r="J31" s="1085">
        <f>IF(ISNUMBER(I31/B31),I31/B31," - ")</f>
        <v>1132.4285714285713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Ek+/p+bqi0Tl15Wztkiirb39QWs13w9WTDRk+tgLED94OKowd/RkkyqEr0RHyGtSm/0E21QRIno0tNM285n4Q==" saltValue="cubOoSp5RG0aYhEwxub5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PUERTO DEL ROSARIO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46</v>
      </c>
      <c r="G10" s="906">
        <f>IF(ISNUMBER(Datos!I10),Datos!I10," - ")</f>
        <v>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1.9459459459459461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384</v>
      </c>
      <c r="AM12" s="914">
        <f>IF(ISNUMBER(Datos!N12+DatosP!N17),Datos!N12+DatosP!N17," - ")</f>
        <v>1371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5.4177897574123985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-2.6523523839595831E-2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46</v>
      </c>
      <c r="G14" s="1256">
        <f t="shared" si="0"/>
        <v>45</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403</v>
      </c>
      <c r="AE14" s="1257">
        <f t="shared" si="1"/>
        <v>0</v>
      </c>
      <c r="AF14" s="1257">
        <f t="shared" si="1"/>
        <v>36</v>
      </c>
      <c r="AG14" s="1257">
        <f t="shared" si="1"/>
        <v>0</v>
      </c>
      <c r="AH14" s="1257">
        <f t="shared" si="1"/>
        <v>6166</v>
      </c>
      <c r="AI14" s="1257">
        <f t="shared" si="1"/>
        <v>0</v>
      </c>
      <c r="AJ14" s="1257">
        <f t="shared" si="1"/>
        <v>0</v>
      </c>
      <c r="AK14" s="1257">
        <f t="shared" si="1"/>
        <v>0</v>
      </c>
      <c r="AL14" s="1257">
        <f t="shared" si="1"/>
        <v>397</v>
      </c>
      <c r="AM14" s="1257">
        <f t="shared" si="1"/>
        <v>1392</v>
      </c>
      <c r="AN14" s="1257">
        <f t="shared" si="1"/>
        <v>0</v>
      </c>
      <c r="AO14" s="1257">
        <f t="shared" si="1"/>
        <v>0</v>
      </c>
      <c r="AP14" s="1262">
        <f>IF(ISNUMBER(((Datos!L14/Datos!K14)*11)/factor_trimestre),((Datos!L14/Datos!K14)*11)/factor_trimestre," - ")</f>
        <v>5.5095039406583215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-0.80434782608695654</v>
      </c>
      <c r="AU14" s="1257" t="str">
        <f>IF(ISNUMBER((DatosP!#REF!-DatosP!#REF!+DatosP!#REF!)/(DatosP!#REF!+DatosP!#REF!-DatosP!#REF!-DatosP!#REF!)),(DatosP!#REF!-DatosP!#REF!+DatosP!#REF!)/(DatosP!#REF!+DatosP!#REF!-DatosP!#REF!-DatosP!#REF!)," - ")</f>
        <v xml:space="preserve"> - </v>
      </c>
      <c r="AV14" s="1263">
        <f>SUBTOTAL(9,AV9:AV13)</f>
        <v>-2.6523523839595831E-2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1.828992628992629</v>
      </c>
      <c r="AQ23" s="1262">
        <f>IF(ISNUMBER(((Datos!M23/Datos!L23)*11)/factor_trimestre),((Datos!M23/Datos!L23)*11)/factor_trimestre," - ")</f>
        <v>0.31380977968833962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-7.0707070707070704E-2</v>
      </c>
      <c r="AW23" s="1265">
        <f>IF(ISNUMBER((Datos!Q23-Datos!R23)/(Datos!S23-Datos!Q23+Datos!R23)),(Datos!Q23-Datos!R23)/(Datos!S23-Datos!Q23+Datos!R23)," - ")</f>
        <v>-0.15063291139240506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46</v>
      </c>
      <c r="G31" s="1278">
        <f t="shared" si="8"/>
        <v>45</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403</v>
      </c>
      <c r="AE31" s="1284">
        <f t="shared" si="9"/>
        <v>0</v>
      </c>
      <c r="AF31" s="1285">
        <f t="shared" si="9"/>
        <v>36</v>
      </c>
      <c r="AG31" s="1285">
        <f t="shared" si="9"/>
        <v>0</v>
      </c>
      <c r="AH31" s="1285">
        <f t="shared" si="9"/>
        <v>6166</v>
      </c>
      <c r="AI31" s="1285">
        <f t="shared" si="9"/>
        <v>0</v>
      </c>
      <c r="AJ31" s="1286">
        <f t="shared" si="9"/>
        <v>0</v>
      </c>
      <c r="AK31" s="1286">
        <f t="shared" si="9"/>
        <v>0</v>
      </c>
      <c r="AL31" s="1278">
        <f t="shared" si="9"/>
        <v>397</v>
      </c>
      <c r="AM31" s="1278">
        <f t="shared" si="9"/>
        <v>1392</v>
      </c>
      <c r="AN31" s="1278">
        <f t="shared" si="9"/>
        <v>0</v>
      </c>
      <c r="AO31" s="1278">
        <f t="shared" si="9"/>
        <v>0</v>
      </c>
      <c r="AP31" s="1278">
        <f>IF(ISNUMBER(((Datos!L31/Datos!K31)*11)/factor_trimestre),((Datos!L31/Datos!K31)*11)/factor_trimestre," - ")</f>
        <v>3.7228053435114505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-0.80434782608695654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-2.9652351738241309E-2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25.19523764523764</v>
      </c>
      <c r="G33" s="1007">
        <f>IF(ISNUMBER(STDEV(G8:G30)),STDEV(G8:G30),"-")</f>
        <v>24.647515087732476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200.0806504054469</v>
      </c>
      <c r="AM33" s="1006"/>
      <c r="AN33" s="1006">
        <f>IF(ISNUMBER(STDEV(AN8:AN30)),STDEV(AN8:AN30),"-")</f>
        <v>0</v>
      </c>
      <c r="AO33" s="1012">
        <f>IF(ISNUMBER(STDEV(AO8:AO30)),STDEV(AO8:AO30),"-")</f>
        <v>0</v>
      </c>
      <c r="AP33" s="1065">
        <f>IF(ISNUMBER(STDEV(AP8:AP30)),STDEV(AP8:AP30),"-")</f>
        <v>2.0655984392524203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OGuLa/GmCtorXAfFriu+EGRCypMmBh3GjgJqBfXP/RXHmDrlRM79CFypKcuZDBmMy19i4EcnGQqVyqesMPlxw==" saltValue="Gxs7KB4axzvta3zN1mz6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PUERTO DEL ROSARIO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t4+l+pOgiZhTPih9lTJpyZ6iLuEpuyo4YzEXAQX5FZKPDBzLjiFudQomQZu+XoNT+1xkEBhzmti7Dur+jQJYw==" saltValue="y7ABG5PyUrOTGQaU3mG+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PUERTO DEL ROSARIO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21</v>
      </c>
      <c r="G10" s="452">
        <f>IF(ISNUMBER(F10/B10),F10/B10," - ")</f>
        <v>21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384</v>
      </c>
      <c r="E12" s="452">
        <f t="shared" si="0"/>
        <v>54.857142857142854</v>
      </c>
      <c r="F12" s="451">
        <f>IF(ISNUMBER(Datos!N12),Datos!N12," - ")</f>
        <v>1371</v>
      </c>
      <c r="G12" s="452">
        <f t="shared" si="1"/>
        <v>195.85714285714286</v>
      </c>
      <c r="H12" s="451">
        <f>IF(ISNUMBER(Datos!O12),Datos!O12," - ")</f>
        <v>719</v>
      </c>
      <c r="I12" s="452">
        <f t="shared" si="2"/>
        <v>102.71428571428571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397</v>
      </c>
      <c r="E14" s="1147">
        <f t="shared" si="0"/>
        <v>49.625</v>
      </c>
      <c r="F14" s="1146">
        <f>SUBTOTAL(9,F9:F13)</f>
        <v>1392</v>
      </c>
      <c r="G14" s="1147">
        <f t="shared" si="1"/>
        <v>174</v>
      </c>
      <c r="H14" s="1146">
        <f>SUBTOTAL(9,H9:H13)</f>
        <v>722</v>
      </c>
      <c r="I14" s="1147">
        <f>IF(ISNUMBER(H14/B14),H14/B14," - ")</f>
        <v>90.25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239</v>
      </c>
      <c r="E17" s="452">
        <f t="shared" si="3"/>
        <v>34.142857142857146</v>
      </c>
      <c r="F17" s="451">
        <f>IF(ISNUMBER(Datos!N17),Datos!N17," - ")</f>
        <v>1275</v>
      </c>
      <c r="G17" s="452">
        <f t="shared" si="4"/>
        <v>182.14285714285714</v>
      </c>
      <c r="H17" s="451">
        <f>IF(ISNUMBER(Datos!O17),Datos!O17," - ")</f>
        <v>32</v>
      </c>
      <c r="I17" s="452">
        <f t="shared" si="5"/>
        <v>4.5714285714285712</v>
      </c>
    </row>
    <row r="18" spans="1:9">
      <c r="A18" s="450" t="str">
        <f>Datos!A18</f>
        <v>Jdos. Violencia contra la mujer</v>
      </c>
      <c r="B18" s="480">
        <f>Datos!AO18</f>
        <v>1</v>
      </c>
      <c r="C18" s="481">
        <f>Datos!AQ18</f>
        <v>0</v>
      </c>
      <c r="D18" s="451">
        <f>IF(ISNUMBER(Datos!M18),Datos!M18," - ")</f>
        <v>53</v>
      </c>
      <c r="E18" s="452">
        <f>IF(ISNUMBER(D18/B18),D18/B18," - ")</f>
        <v>53</v>
      </c>
      <c r="F18" s="451">
        <f>IF(ISNUMBER(Datos!N18),Datos!N18," - ")</f>
        <v>128</v>
      </c>
      <c r="G18" s="452">
        <f>IF(ISNUMBER(F18/B18),F18/B18," - ")</f>
        <v>128</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292</v>
      </c>
      <c r="E23" s="1147">
        <f t="shared" si="3"/>
        <v>36.5</v>
      </c>
      <c r="F23" s="1146">
        <f>SUBTOTAL(9,F16:F22)</f>
        <v>1403</v>
      </c>
      <c r="G23" s="1147">
        <f t="shared" si="4"/>
        <v>175.375</v>
      </c>
      <c r="H23" s="1146">
        <f>SUBTOTAL(9,H16:H22)</f>
        <v>44</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689</v>
      </c>
      <c r="E31" s="1085">
        <f>IF(ISNUMBER(D31/B31),D31/B31," - ")</f>
        <v>98.428571428571431</v>
      </c>
      <c r="F31" s="1084">
        <f>SUBTOTAL(9,F8:F30)</f>
        <v>2795</v>
      </c>
      <c r="G31" s="1085">
        <f>IF(ISNUMBER(F31/B31),F31/B31," - ")</f>
        <v>399.28571428571428</v>
      </c>
      <c r="H31" s="1084">
        <f>SUBTOTAL(9,H8:H30)</f>
        <v>766</v>
      </c>
      <c r="I31" s="1085">
        <f>IF(ISNUMBER(H31/B31),H31/B31," - ")</f>
        <v>109.42857142857143</v>
      </c>
    </row>
    <row r="34" spans="1:1">
      <c r="A34" s="439" t="str">
        <f>Criterios!A4</f>
        <v>Fecha Informe: 06 may. 2023</v>
      </c>
    </row>
    <row r="39" spans="1:1">
      <c r="A39" s="462"/>
    </row>
  </sheetData>
  <sheetProtection algorithmName="SHA-512" hashValue="U8exnNsFVKpZUzbToxok0e0lJCwatGB7hKNZxH8TUKcQSSog0irbuOYTyfEmvA4ioYkqF1A3VT9jk1wdXC94pw==" saltValue="lb49ZoHVgirLD8QgC5Ub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PUERTO DEL ROSARIO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235</v>
      </c>
      <c r="C12" s="489">
        <f>IF(ISNUMBER(Datos!Q12),Datos!Q12," - ")</f>
        <v>403</v>
      </c>
      <c r="D12" s="456">
        <f>IF(ISNUMBER(Datos!R12),Datos!R12," - ")</f>
        <v>6166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405</v>
      </c>
      <c r="D14" s="1148">
        <f>SUBTOTAL(9,D9:D13)</f>
        <v>6183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91</v>
      </c>
      <c r="D17" s="456">
        <f>IF(ISNUMBER(Datos!R17),Datos!R17," - ")</f>
        <v>435</v>
      </c>
    </row>
    <row r="18" spans="1:4">
      <c r="A18" s="450" t="str">
        <f>Datos!A18</f>
        <v>Jdos. Violencia contra la mujer</v>
      </c>
      <c r="B18" s="488">
        <f>IF(ISNUMBER(Datos!P18),Datos!P18," - ")</f>
        <v>11</v>
      </c>
      <c r="C18" s="489">
        <f>IF(ISNUMBER(Datos!Q18),Datos!Q18," - ")</f>
        <v>12</v>
      </c>
      <c r="D18" s="456">
        <f>IF(ISNUMBER(Datos!R18),Datos!R18," - ")</f>
        <v>25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103</v>
      </c>
      <c r="D23" s="1148">
        <f>SUBTOTAL(9,D16:D22)</f>
        <v>460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305</v>
      </c>
      <c r="C31" s="1089">
        <f>SUBTOTAL(9,C8:C30)</f>
        <v>508</v>
      </c>
      <c r="D31" s="1090">
        <f>SUBTOTAL(9,D8:D30)</f>
        <v>6643</v>
      </c>
    </row>
    <row r="32" spans="1:4" ht="7.5" customHeight="1"/>
    <row r="33" spans="1:1" ht="6" customHeight="1"/>
    <row r="34" spans="1:1">
      <c r="A34" s="439" t="str">
        <f>Criterios!A4</f>
        <v>Fecha Informe: 06 may. 2023</v>
      </c>
    </row>
    <row r="39" spans="1:1">
      <c r="A39" s="462"/>
    </row>
  </sheetData>
  <sheetProtection algorithmName="SHA-512" hashValue="znfudaEfxpYqzJRguszapF7TyyFYJfMCNXPX3CGwhpwMSSaDGLfw3fp2vEnL1a6k5S8nhd+UTyM85yXk46zyrg==" saltValue="+DgZGjwFILmuoBmiZ4Bx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PUERTO DEL ROSARIO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-0.21052631578947367</v>
      </c>
      <c r="C10" s="515">
        <f>IF(ISNUMBER((Datos!J10-Datos!T10)/Datos!T10),(Datos!J10-Datos!T10)/Datos!T10," - ")</f>
        <v>0.2857142857142857</v>
      </c>
      <c r="D10" s="515">
        <f>IF(ISNUMBER((Datos!K10-Datos!U10)/Datos!U10),(Datos!K10-Datos!U10)/Datos!U10," - ")</f>
        <v>0.94736842105263153</v>
      </c>
      <c r="E10" s="515">
        <f>IF(ISNUMBER((Datos!L10-Datos!V10)/Datos!V10),(Datos!L10-Datos!V10)/Datos!V10," - ")</f>
        <v>-0.38983050847457629</v>
      </c>
      <c r="F10" s="515">
        <f>IF(ISNUMBER((Datos!M10-Datos!W10)/Datos!W10),(Datos!M10-Datos!W10)/Datos!W10," - ")</f>
        <v>0.18181818181818182</v>
      </c>
      <c r="G10" s="516">
        <f>IF(ISNUMBER((Datos!N10-Datos!X10)/Datos!X10),(Datos!N10-Datos!X10)/Datos!X10," - ")</f>
        <v>2</v>
      </c>
      <c r="H10" s="514">
        <f>IF(ISNUMBER(((NºAsuntos!G10/NºAsuntos!E10)-Datos!BD10)/Datos!BD10),((NºAsuntos!G10/NºAsuntos!E10)-Datos!BD10)/Datos!BD10," - ")</f>
        <v>0.51461988304093575</v>
      </c>
      <c r="I10" s="515">
        <f>IF(ISNUMBER(((NºAsuntos!I10/NºAsuntos!G10)-Datos!BE10)/Datos!BE10),((NºAsuntos!I10/NºAsuntos!G10)-Datos!BE10)/Datos!BE10," - ")</f>
        <v>-0.68666972056802555</v>
      </c>
      <c r="J10" s="521">
        <f>IF(ISNUMBER((('Resol  Asuntos'!D10/NºAsuntos!G10)-Datos!BF10)/Datos!BF10),(('Resol  Asuntos'!D10/NºAsuntos!G10)-Datos!BF10)/Datos!BF10," - ")</f>
        <v>-0.3931203931203931</v>
      </c>
      <c r="K10" s="522">
        <f>IF(ISNUMBER((((NºAsuntos!C10+NºAsuntos!E10)/NºAsuntos!G10)-Datos!BG10)/Datos!BG10),(((NºAsuntos!C10+NºAsuntos!E10)/NºAsuntos!G10)-Datos!BG10)/Datos!BG10," - ")</f>
        <v>-0.52598752598752596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3.8493723849372385E-3</v>
      </c>
      <c r="C12" s="515">
        <f>IF(ISNUMBER(
   IF(J_V="SI",(Datos!J12-Datos!T12)/Datos!T12,(Datos!J12+Datos!Z12-(Datos!T12+Datos!AH12))/(Datos!T12+Datos!AH12))
     ),IF(J_V="SI",(Datos!J12-Datos!T12)/Datos!T12,(Datos!J12+Datos!Z12-(Datos!T12+Datos!AH12))/(Datos!T12+Datos!AH12))," - ")</f>
        <v>0.46928916494133888</v>
      </c>
      <c r="D12" s="515">
        <f>IF(ISNUMBER(
   IF(J_V="SI",(Datos!K12-Datos!U12)/Datos!U12,(Datos!K12+Datos!AA12-(Datos!U12+Datos!AI12))/(Datos!U12+Datos!AI12))
     ),IF(J_V="SI",(Datos!K12-Datos!U12)/Datos!U12,(Datos!K12+Datos!AA12-(Datos!U12+Datos!AI12))/(Datos!U12+Datos!AI12))," - ")</f>
        <v>0.40530303030303028</v>
      </c>
      <c r="E12" s="515">
        <f>IF(ISNUMBER(
   IF(J_V="SI",(Datos!L12-Datos!V12)/Datos!V12,(Datos!L12+Datos!AB12-(Datos!V12+Datos!AJ12))/(Datos!V12+Datos!AJ12))
     ),IF(J_V="SI",(Datos!L12-Datos!V12)/Datos!V12,(Datos!L12+Datos!AB12-(Datos!V12+Datos!AJ12))/(Datos!V12+Datos!AJ12))," - ")</f>
        <v>4.2531120331950209E-2</v>
      </c>
      <c r="F12" s="515">
        <f>IF(ISNUMBER((Datos!M12-Datos!W12)/Datos!W12),(Datos!M12-Datos!W12)/Datos!W12," - ")</f>
        <v>0.27574750830564781</v>
      </c>
      <c r="G12" s="516">
        <f>IF(ISNUMBER((Datos!N12-Datos!X12)/Datos!X12),(Datos!N12-Datos!X12)/Datos!X12," - ")</f>
        <v>1.5674157303370786</v>
      </c>
      <c r="H12" s="514">
        <f>IF(ISNUMBER(((NºAsuntos!G12/NºAsuntos!E12)-Datos!BD12)/Datos!BD12),((NºAsuntos!G12/NºAsuntos!E12)-Datos!BD12)/Datos!BD12," - ")</f>
        <v>-4.3549041376660019E-2</v>
      </c>
      <c r="I12" s="515">
        <f>IF(ISNUMBER(((NºAsuntos!I12/NºAsuntos!G12)-Datos!BE12)/Datos!BE12),((NºAsuntos!I12/NºAsuntos!G12)-Datos!BE12)/Datos!BE12," - ")</f>
        <v>-0.25814497097672551</v>
      </c>
      <c r="J12" s="521">
        <f>IF(ISNUMBER((('Resol  Asuntos'!D12/NºAsuntos!G12)-Datos!BF12)/Datos!BF12),(('Resol  Asuntos'!D12/NºAsuntos!G12)-Datos!BF12)/Datos!BF12," - ")</f>
        <v>-0.48829461825009834</v>
      </c>
      <c r="K12" s="522">
        <f>IF(ISNUMBER((((NºAsuntos!C12+NºAsuntos!E12)/NºAsuntos!G12)-Datos!BG12)/Datos!BG12),(((NºAsuntos!C12+NºAsuntos!E12)/NºAsuntos!G12)-Datos!BG12)/Datos!BG12," - ")</f>
        <v>-0.22102716330513988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1.823607427055703E-3</v>
      </c>
      <c r="C14" s="1152">
        <f>IF(ISNUMBER(
   IF(J_V="SI",(Datos!J14-Datos!T14)/Datos!T14,(Datos!J14+Datos!Z14-(Datos!T14+Datos!AH14))/(Datos!T14+Datos!AH14))
     ),IF(J_V="SI",(Datos!J14-Datos!T14)/Datos!T14,(Datos!J14+Datos!Z14-(Datos!T14+Datos!AH14))/(Datos!T14+Datos!AH14))," - ")</f>
        <v>0.46666666666666667</v>
      </c>
      <c r="D14" s="1152">
        <f>IF(ISNUMBER(
   IF(J_V="SI",(Datos!K14-Datos!U14)/Datos!U14,(Datos!K14+Datos!AA14-(Datos!U14+Datos!AI14))/(Datos!U14+Datos!AI14))
     ),IF(J_V="SI",(Datos!K14-Datos!U14)/Datos!U14,(Datos!K14+Datos!AA14-(Datos!U14+Datos!AI14))/(Datos!U14+Datos!AI14))," - ")</f>
        <v>0.41172800998128511</v>
      </c>
      <c r="E14" s="1152">
        <f>IF(ISNUMBER(
   IF(J_V="SI",(Datos!L14-Datos!V14)/Datos!V14,(Datos!L14+Datos!AB14-(Datos!V14+Datos!AJ14))/(Datos!V14+Datos!AJ14))
     ),IF(J_V="SI",(Datos!L14-Datos!V14)/Datos!V14,(Datos!L14+Datos!AB14-(Datos!V14+Datos!AJ14))/(Datos!V14+Datos!AJ14))," - ")</f>
        <v>3.8165326031148382E-2</v>
      </c>
      <c r="F14" s="1153">
        <f>IF(ISNUMBER((Datos!M14-Datos!W14)/Datos!W14),(Datos!M14-Datos!W14)/Datos!W14," - ")</f>
        <v>0.27243589743589741</v>
      </c>
      <c r="G14" s="1154">
        <f>IF(ISNUMBER((Datos!N14-Datos!X14)/Datos!X14),(Datos!N14-Datos!X14)/Datos!X14," - ")</f>
        <v>1.5730129390018484</v>
      </c>
      <c r="H14" s="1154">
        <f>IF(ISNUMBER(((NºAsuntos!G14/NºAsuntos!E14)-Datos!BD14)/Datos!BD14),((NºAsuntos!G14/NºAsuntos!E14)-Datos!BD14)/Datos!BD14," - ")</f>
        <v>-3.7458175012760025E-2</v>
      </c>
      <c r="I14" s="1154">
        <f>IF(ISNUMBER(((NºAsuntos!I14/NºAsuntos!G14)-Datos!BE14)/Datos!BE14),((NºAsuntos!I14/NºAsuntos!G14)-Datos!BE14)/Datos!BE14," - ")</f>
        <v>-0.26461377921876666</v>
      </c>
      <c r="J14" s="1154">
        <f>IF(ISNUMBER((('Resol  Asuntos'!D14/NºAsuntos!G14)-Datos!BF14)/Datos!BF14),(('Resol  Asuntos'!D14/NºAsuntos!G14)-Datos!BF14)/Datos!BF14," - ")</f>
        <v>-0.48400799458379107</v>
      </c>
      <c r="K14" s="1154">
        <f>IF(ISNUMBER((((NºAsuntos!C14+NºAsuntos!E14)/NºAsuntos!G14)-Datos!BG14)/Datos!BG14),(((NºAsuntos!C14+NºAsuntos!E14)/NºAsuntos!G14)-Datos!BG14)/Datos!BG14," - ")</f>
        <v>-0.22583631550072439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9.3701996927803385E-2</v>
      </c>
      <c r="C17" s="515">
        <f>IF(ISNUMBER(
   IF(D_I="SI",(Datos!J17-Datos!T17)/Datos!T17,(Datos!J17+Datos!AD17-(Datos!T17+Datos!AL17))/(Datos!T17+Datos!AL17))
     ),IF(D_I="SI",(Datos!J17-Datos!T17)/Datos!T17,(Datos!J17+Datos!AD17-(Datos!T17+Datos!AL17))/(Datos!T17+Datos!AL17))," - ")</f>
        <v>3.3192516596258298E-2</v>
      </c>
      <c r="D17" s="515">
        <f>IF(ISNUMBER(
   IF(D_I="SI",(Datos!K17-Datos!U17)/Datos!U17,(Datos!K17+Datos!AE17-(Datos!U17+Datos!AM17))/(Datos!U17+Datos!AM17))
     ),IF(D_I="SI",(Datos!K17-Datos!U17)/Datos!U17,(Datos!K17+Datos!AE17-(Datos!U17+Datos!AM17))/(Datos!U17+Datos!AM17))," - ")</f>
        <v>9.420289855072464E-2</v>
      </c>
      <c r="E17" s="515">
        <f>IF(ISNUMBER(
   IF(D_I="SI",(Datos!L17-Datos!V17)/Datos!V17,(Datos!L17+Datos!AF17-(Datos!V17+Datos!AN17))/(Datos!V17+Datos!AN17))
     ),IF(D_I="SI",(Datos!L17-Datos!V17)/Datos!V17,(Datos!L17+Datos!AF17-(Datos!V17+Datos!AN17))/(Datos!V17+Datos!AN17))," - ")</f>
        <v>-0.12255859375</v>
      </c>
      <c r="F17" s="515">
        <f>IF(ISNUMBER((Datos!M17-Datos!W17)/Datos!W17),(Datos!M17-Datos!W17)/Datos!W17," - ")</f>
        <v>0.17733990147783252</v>
      </c>
      <c r="G17" s="516">
        <f>IF(ISNUMBER((Datos!N17-Datos!X17)/Datos!X17),(Datos!N17-Datos!X17)/Datos!X17," - ")</f>
        <v>3.2388663967611336E-2</v>
      </c>
      <c r="H17" s="514">
        <f>IF(ISNUMBER(((NºAsuntos!G17/NºAsuntos!E17)-Datos!BD17)/Datos!BD17),((NºAsuntos!G17/NºAsuntos!E17)-Datos!BD17)/Datos!BD17," - ")</f>
        <v>5.9050352160368344E-2</v>
      </c>
      <c r="I17" s="515">
        <f>IF(ISNUMBER(((NºAsuntos!I17/NºAsuntos!G17)-Datos!BE17)/Datos!BE17),((NºAsuntos!I17/NºAsuntos!G17)-Datos!BE17)/Datos!BE17," - ")</f>
        <v>-0.19809990687086088</v>
      </c>
      <c r="J17" s="521">
        <f>IF(ISNUMBER((('Resol  Asuntos'!D17/NºAsuntos!G17)-Datos!BF17)/Datos!BF17),(('Resol  Asuntos'!D17/NºAsuntos!G17)-Datos!BF17)/Datos!BF17," - ")</f>
        <v>7.5979512608880084E-2</v>
      </c>
      <c r="K17" s="522">
        <f>IF(ISNUMBER((((NºAsuntos!C17+NºAsuntos!E17)/NºAsuntos!G17)-Datos!BG17)/Datos!BG17),(((NºAsuntos!C17+NºAsuntos!E17)/NºAsuntos!G17)-Datos!BG17)/Datos!BG17," - ")</f>
        <v>-2.5840656014382391E-2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1.6666666666666666E-2</v>
      </c>
      <c r="C18" s="515">
        <f>IF(ISNUMBER(
   IF(D_I="SI",(Datos!J18-Datos!T18)/Datos!T18,(Datos!J18+Datos!AD18-(Datos!T18+Datos!AL18))/(Datos!T18+Datos!AL18))
     ),IF(D_I="SI",(Datos!J18-Datos!T18)/Datos!T18,(Datos!J18+Datos!AD18-(Datos!T18+Datos!AL18))/(Datos!T18+Datos!AL18))," - ")</f>
        <v>0.21978021978021978</v>
      </c>
      <c r="D18" s="515">
        <f>IF(ISNUMBER(
   IF(D_I="SI",(Datos!K18-Datos!U18)/Datos!U18,(Datos!K18+Datos!AE18-(Datos!U18+Datos!AM18))/(Datos!U18+Datos!AM18))
     ),IF(D_I="SI",(Datos!K18-Datos!U18)/Datos!U18,(Datos!K18+Datos!AE18-(Datos!U18+Datos!AM18))/(Datos!U18+Datos!AM18))," - ")</f>
        <v>0.19251336898395721</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v>
      </c>
      <c r="G18" s="516">
        <f>IF(ISNUMBER((Datos!N18-Datos!X18)/Datos!X18),(Datos!N18-Datos!X18)/Datos!X18," - ")</f>
        <v>0.31958762886597936</v>
      </c>
      <c r="H18" s="514">
        <f>IF(ISNUMBER(((NºAsuntos!G18/NºAsuntos!E18)-Datos!BD18)/Datos!BD18),((NºAsuntos!G18/NºAsuntos!E18)-Datos!BD18)/Datos!BD18," - ")</f>
        <v>-2.2353904706845836E-2</v>
      </c>
      <c r="I18" s="515">
        <f>IF(ISNUMBER(((NºAsuntos!I18/NºAsuntos!G18)-Datos!BE18)/Datos!BE18),((NºAsuntos!I18/NºAsuntos!G18)-Datos!BE18)/Datos!BE18," - ")</f>
        <v>-0.10553064275037372</v>
      </c>
      <c r="J18" s="521">
        <f>IF(ISNUMBER((('Resol  Asuntos'!D18/NºAsuntos!G18)-Datos!BF18)/Datos!BF18),(('Resol  Asuntos'!D18/NºAsuntos!G18)-Datos!BF18)/Datos!BF18," - ")</f>
        <v>-0.16143497757847544</v>
      </c>
      <c r="K18" s="522">
        <f>IF(ISNUMBER((((NºAsuntos!C18+NºAsuntos!E18)/NºAsuntos!G18)-Datos!BG18)/Datos!BG18),(((NºAsuntos!C18+NºAsuntos!E18)/NºAsuntos!G18)-Datos!BG18)/Datos!BG18," - ")</f>
        <v>-1.9364044027721121E-2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9.1405861897665183E-2</v>
      </c>
      <c r="C23" s="1152">
        <f>IF(ISNUMBER(
   IF(Criterios!B14="SI",(Datos!J23-Datos!T23)/Datos!T23,(Datos!J23+Datos!AD23-(Datos!T23+Datos!AL23))/(Datos!T23+Datos!AL23))
     ),IF(Criterios!B14="SI",(Datos!J23-Datos!T23)/Datos!T23,(Datos!J23+Datos!AD23-(Datos!T23+Datos!AL23))/(Datos!T23+Datos!AL23))," - ")</f>
        <v>5.1658510059815116E-2</v>
      </c>
      <c r="D23" s="1152">
        <f>IF(ISNUMBER(
   IF(Criterios!B14="SI",(Datos!K23-Datos!U23)/Datos!U23,(Datos!K23+Datos!AE23-(Datos!U23+Datos!AM23))/(Datos!U23+Datos!AM23))
     ),IF(Criterios!B14="SI",(Datos!K23-Datos!U23)/Datos!U23,(Datos!K23+Datos!AE23-(Datos!U23+Datos!AM23))/(Datos!U23+Datos!AM23))," - ")</f>
        <v>0.10417797069994574</v>
      </c>
      <c r="E23" s="1152">
        <f>IF(ISNUMBER(
   IF(Criterios!B14="SI",(Datos!L23-Datos!V23)/Datos!V23,(Datos!L23+Datos!AF23-(Datos!V23+Datos!AN23))/(Datos!V23+Datos!AN23))
     ),IF(Criterios!B14="SI",(Datos!L23-Datos!V23)/Datos!V23,(Datos!L23+Datos!AF23-(Datos!V23+Datos!AN23))/(Datos!V23+Datos!AN23))," - ")</f>
        <v>-0.11717267552182163</v>
      </c>
      <c r="F23" s="1153">
        <f>IF(ISNUMBER((Datos!M23-Datos!W23)/Datos!W23),(Datos!M23-Datos!W23)/Datos!W23," - ")</f>
        <v>0.140625</v>
      </c>
      <c r="G23" s="1154">
        <f>IF(ISNUMBER((Datos!N23-Datos!X23)/Datos!X23),(Datos!N23-Datos!X23)/Datos!X23," - ")</f>
        <v>5.3303303303303302E-2</v>
      </c>
      <c r="H23" s="1154">
        <f>IF(ISNUMBER(((NºAsuntos!G23/NºAsuntos!E23)-Datos!BD23)/Datos!BD23),((NºAsuntos!G23/NºAsuntos!E23)-Datos!BD23)/Datos!BD23," - ")</f>
        <v>4.9939652594208975E-2</v>
      </c>
      <c r="I23" s="1154">
        <f>IF(ISNUMBER(((NºAsuntos!I23/NºAsuntos!G23)-Datos!BE23)/Datos!BE23),((NºAsuntos!I23/NºAsuntos!G23)-Datos!BE23)/Datos!BE23," - ")</f>
        <v>-0.20046645748733033</v>
      </c>
      <c r="J23" s="1154">
        <f>IF(ISNUMBER((('Resol  Asuntos'!D23/NºAsuntos!G23)-Datos!BF23)/Datos!BF23),(('Resol  Asuntos'!D23/NºAsuntos!G23)-Datos!BF23)/Datos!BF23," - ")</f>
        <v>3.3008292383292281E-2</v>
      </c>
      <c r="K23" s="1154">
        <f>IF(ISNUMBER((((NºAsuntos!C23+NºAsuntos!E23)/NºAsuntos!G23)-Datos!BG23)/Datos!BG23),(((NºAsuntos!C23+NºAsuntos!E23)/NºAsuntos!G23)-Datos!BG23)/Datos!BG23," - ")</f>
        <v>-2.8752669406875063E-2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2.4238657551274082E-2</v>
      </c>
      <c r="C31" s="1092">
        <f>IF(ISNUMBER(
   IF(J_V="SI",(Datos!J31-Datos!T31)/Datos!T31,(Datos!J31+Datos!Z31-(Datos!T31+Datos!AH31))/(Datos!T31+Datos!AH31))
     ),IF(J_V="SI",(Datos!J31-Datos!T31)/Datos!T31,(Datos!J31+Datos!Z31-(Datos!T31+Datos!AH31))/(Datos!T31+Datos!AH31))," - ")</f>
        <v>0.23602296766394681</v>
      </c>
      <c r="D31" s="1092">
        <f>IF(ISNUMBER(
   IF(J_V="SI",(Datos!K31-Datos!U31)/Datos!U31,(Datos!K31+Datos!AA31-(Datos!U31+Datos!AI31))/(Datos!U31+Datos!AI31))
     ),IF(J_V="SI",(Datos!K31-Datos!U31)/Datos!U31,(Datos!K31+Datos!AA31-(Datos!U31+Datos!AI31))/(Datos!U31+Datos!AI31))," - ")</f>
        <v>0.24724318049912944</v>
      </c>
      <c r="E31" s="1092">
        <f>IF(ISNUMBER(
   IF(J_V="SI",(Datos!L31-Datos!V31)/Datos!V31,(Datos!L31+Datos!AB31-(Datos!V31+Datos!AJ31))/(Datos!V31+Datos!AJ31))
     ),IF(J_V="SI",(Datos!L31-Datos!V31)/Datos!V31,(Datos!L31+Datos!AB31-(Datos!V31+Datos!AJ31))/(Datos!V31+Datos!AJ31))," - ")</f>
        <v>-3.0184882404728965E-3</v>
      </c>
      <c r="F31" s="1093">
        <f>IF(ISNUMBER((Datos!M31-Datos!W31)/Datos!W31),(Datos!M31-Datos!W31)/Datos!W31," - ")</f>
        <v>0.2130281690140845</v>
      </c>
      <c r="G31" s="1094">
        <f>IF(ISNUMBER((Datos!N31-Datos!X31)/Datos!X31),(Datos!N31-Datos!X31)/Datos!X31," - ")</f>
        <v>0.49225840896956752</v>
      </c>
      <c r="H31" s="1095">
        <f>IF(ISNUMBER((Tasas!B31-Datos!BD31)/Datos!BD31),(Tasas!B31-Datos!BD31)/Datos!BD31," - ")</f>
        <v>9.0776734160438848E-3</v>
      </c>
      <c r="I31" s="1096">
        <f>IF(ISNUMBER((Tasas!C31-Datos!BE31)/Datos!BE31),(Tasas!C31-Datos!BE31)/Datos!BE31," - ")</f>
        <v>-0.20065186376842015</v>
      </c>
      <c r="J31" s="1097">
        <f>IF(ISNUMBER((Tasas!D31-Datos!BF31)/Datos!BF31),(Tasas!D31-Datos!BF31)/Datos!BF31," - ")</f>
        <v>-0.31033915841587029</v>
      </c>
      <c r="K31" s="1097">
        <f>IF(ISNUMBER((Tasas!E31-Datos!BG31)/Datos!BG31),(Tasas!E31-Datos!BG31)/Datos!BG31," - ")</f>
        <v>-0.12931101823764887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Uw4+0dK2sIKNw6CZUJiiUDxmFgn8LZQS8WI+zyyDWVlmFNBIng1fBxPpQEwgWq5Ze/ZJMbVeWGDwPW4HBtjxw==" saltValue="YJRNKEREhZo9CZfU37qH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PUERTO DEL ROSARIO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1.3703703703703705</v>
      </c>
      <c r="C10" s="498">
        <f>IF(ISNUMBER(NºAsuntos!I10/NºAsuntos!G10),NºAsuntos!I10/NºAsuntos!G10," - ")</f>
        <v>0.97297297297297303</v>
      </c>
      <c r="D10" s="499">
        <f>IF(ISNUMBER('Resol  Asuntos'!D10/NºAsuntos!G10),'Resol  Asuntos'!D10/NºAsuntos!G10," - ")</f>
        <v>0.35135135135135137</v>
      </c>
      <c r="E10" s="500">
        <f>IF(ISNUMBER((NºAsuntos!C10+NºAsuntos!E10)/NºAsuntos!G10),(NºAsuntos!C10+NºAsuntos!E10)/NºAsuntos!G10," - ")</f>
        <v>1.9459459459459461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1.0455612963832785</v>
      </c>
      <c r="C12" s="498">
        <f>IF(ISNUMBER(NºAsuntos!I12/NºAsuntos!G12),NºAsuntos!I12/NºAsuntos!G12," - ")</f>
        <v>2.7088948787061993</v>
      </c>
      <c r="D12" s="499">
        <f>IF(ISNUMBER('Resol  Asuntos'!D12/NºAsuntos!G12),'Resol  Asuntos'!D12/NºAsuntos!G12," - ")</f>
        <v>0.1725067385444744</v>
      </c>
      <c r="E12" s="500">
        <f>IF(ISNUMBER((NºAsuntos!C12+NºAsuntos!E12)/NºAsuntos!G12),(NºAsuntos!C12+NºAsuntos!E12)/NºAsuntos!G12," - ")</f>
        <v>3.6509433962264151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1.0496289424860854</v>
      </c>
      <c r="C14" s="1156">
        <f>IF(ISNUMBER(NºAsuntos!I14/NºAsuntos!G14),NºAsuntos!I14/NºAsuntos!G14," - ")</f>
        <v>2.6805125939019003</v>
      </c>
      <c r="D14" s="1157">
        <f>IF(ISNUMBER('Resol  Asuntos'!D14/NºAsuntos!G14),'Resol  Asuntos'!D14/NºAsuntos!G14," - ")</f>
        <v>0.17543084401237297</v>
      </c>
      <c r="E14" s="1158">
        <f>IF(ISNUMBER((NºAsuntos!C14+NºAsuntos!E14)/NºAsuntos!G14),(NºAsuntos!C14+NºAsuntos!E14)/NºAsuntos!G14," - ")</f>
        <v>3.623066725585506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1.058411214953271</v>
      </c>
      <c r="C17" s="498">
        <f>IF(ISNUMBER(NºAsuntos!I17/NºAsuntos!G17),NºAsuntos!I17/NºAsuntos!G17," - ")</f>
        <v>0.99172185430463577</v>
      </c>
      <c r="D17" s="499">
        <f>IF(ISNUMBER('Resol  Asuntos'!D17/NºAsuntos!G17),'Resol  Asuntos'!D17/NºAsuntos!G17," - ")</f>
        <v>0.13189845474613687</v>
      </c>
      <c r="E17" s="500">
        <f>IF(ISNUMBER((NºAsuntos!C17+NºAsuntos!E17)/NºAsuntos!G17),(NºAsuntos!C17+NºAsuntos!E17)/NºAsuntos!G17," - ")</f>
        <v>2.1236203090507728</v>
      </c>
      <c r="G17" s="523"/>
    </row>
    <row r="18" spans="1:7">
      <c r="A18" s="450" t="str">
        <f>Datos!A18</f>
        <v>Jdos. Violencia contra la mujer</v>
      </c>
      <c r="B18" s="497">
        <f>IF(ISNUMBER(NºAsuntos!G18/NºAsuntos!E18),NºAsuntos!G18/NºAsuntos!E18," - ")</f>
        <v>1.0045045045045045</v>
      </c>
      <c r="C18" s="498">
        <f>IF(ISNUMBER(NºAsuntos!I18/NºAsuntos!G18),NºAsuntos!I18/NºAsuntos!G18," - ")</f>
        <v>0.28699551569506726</v>
      </c>
      <c r="D18" s="499">
        <f>IF(ISNUMBER('Resol  Asuntos'!D18/NºAsuntos!G18),'Resol  Asuntos'!D18/NºAsuntos!G18," - ")</f>
        <v>0.23766816143497757</v>
      </c>
      <c r="E18" s="500">
        <f>IF(ISNUMBER((NºAsuntos!C18+NºAsuntos!E18)/NºAsuntos!G18),(NºAsuntos!C18+NºAsuntos!E18)/NºAsuntos!G18," - ")</f>
        <v>1.2690582959641257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1.0522233712512927</v>
      </c>
      <c r="C23" s="1156">
        <f>IF(ISNUMBER(NºAsuntos!I23/NºAsuntos!G23),NºAsuntos!I23/NºAsuntos!G23," - ")</f>
        <v>0.91449631449631452</v>
      </c>
      <c r="D23" s="1159">
        <f>IF(ISNUMBER('Resol  Asuntos'!D23/NºAsuntos!G23),'Resol  Asuntos'!D23/NºAsuntos!G23," - ")</f>
        <v>0.14348894348894348</v>
      </c>
      <c r="E23" s="1158">
        <f>IF(ISNUMBER((NºAsuntos!C23+NºAsuntos!E23)/NºAsuntos!G23),(NºAsuntos!C23+NºAsuntos!E23)/NºAsuntos!G23," - ")</f>
        <v>2.0299754299754298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1.0508557457212715</v>
      </c>
      <c r="C31" s="1099">
        <f>IF(ISNUMBER(NºAsuntos!I31/NºAsuntos!G31),NºAsuntos!I31/NºAsuntos!G31," - ")</f>
        <v>1.8443462075383898</v>
      </c>
      <c r="D31" s="1100">
        <f>IF(ISNUMBER('Resol  Asuntos'!D31/NºAsuntos!G31),'Resol  Asuntos'!D31/NºAsuntos!G31," - ")</f>
        <v>0.16030711959050722</v>
      </c>
      <c r="E31" s="1101">
        <f>IF(ISNUMBER((NºAsuntos!C31+NºAsuntos!E31)/NºAsuntos!G31),(NºAsuntos!C31+NºAsuntos!E31)/NºAsuntos!G31," - ")</f>
        <v>2.8687761749651002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YyGBNmYKQ5gRdyjQne/QNG9+jl/APcH04VGL4SrG+TKL6r0DT94cTclOm2otbvsHctM7HNat0/cLQmH8tSO3A==" saltValue="5Y9f0AM0K3yB3O8S2sW1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46</v>
      </c>
      <c r="G10" s="373">
        <f>IF(ISNUMBER(Datos!I10),Datos!I10," - ")</f>
        <v>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2</v>
      </c>
      <c r="Y10" s="374">
        <f t="shared" ref="Y10:Y13" si="0">SUM(W10:X10)</f>
        <v>39</v>
      </c>
      <c r="Z10" s="375" t="str">
        <f>IF(ISNUMBER(Datos!CC10),Datos!CC10," - ")</f>
        <v xml:space="preserve"> - </v>
      </c>
      <c r="AA10" s="372">
        <f>IF(ISNUMBER(Datos!L10),Datos!L10,"-")</f>
        <v>36</v>
      </c>
      <c r="AB10" s="374">
        <f>IF(ISNUMBER(Datos!R10),Datos!R10," - ")</f>
        <v>17</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1.3703703703703705</v>
      </c>
      <c r="AM10" s="284">
        <f>IF(ISNUMBER(((NºAsuntos!I10/NºAsuntos!G10)*11)/factor_trimestre),((NºAsuntos!I10/NºAsuntos!G10)*11)/factor_trimestre," - ")</f>
        <v>1.9459459459459461</v>
      </c>
      <c r="AN10" s="267">
        <f>IF(ISNUMBER('Resol  Asuntos'!D10/NºAsuntos!G10),'Resol  Asuntos'!D10/NºAsuntos!G10," - ")</f>
        <v>0.35135135135135137</v>
      </c>
      <c r="AO10" s="268">
        <f>IF(ISNUMBER((NºAsuntos!C10+NºAsuntos!E10)/NºAsuntos!G10),(NºAsuntos!C10+NºAsuntos!E10)/NºAsuntos!G10," - ")</f>
        <v>1.9459459459459461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403</v>
      </c>
      <c r="Y12" s="374">
        <f t="shared" si="0"/>
        <v>403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384</v>
      </c>
      <c r="AJ12" s="243" t="str">
        <f>IF(ISNUMBER(Datos!BW12),Datos!BW12," - ")</f>
        <v xml:space="preserve"> - </v>
      </c>
      <c r="AK12" s="242" t="str">
        <f>IF(ISNUMBER(Datos!BX12),Datos!BX12," - ")</f>
        <v xml:space="preserve"> - </v>
      </c>
      <c r="AL12" s="266">
        <f>IF(ISNUMBER(NºAsuntos!G12/NºAsuntos!E12),NºAsuntos!G12/NºAsuntos!E12," - ")</f>
        <v>1.0455612963832785</v>
      </c>
      <c r="AM12" s="284">
        <f>IF(ISNUMBER(((NºAsuntos!I12/NºAsuntos!G12)*11)/factor_trimestre),((NºAsuntos!I12/NºAsuntos!G12)*11)/factor_trimestre," - ")</f>
        <v>5.4177897574123985</v>
      </c>
      <c r="AN12" s="267">
        <f>IF(ISNUMBER('Resol  Asuntos'!D12/NºAsuntos!G12),'Resol  Asuntos'!D12/NºAsuntos!G12," - ")</f>
        <v>0.1725067385444744</v>
      </c>
      <c r="AO12" s="268">
        <f>IF(ISNUMBER((NºAsuntos!C12+NºAsuntos!E12)/NºAsuntos!G12),(NºAsuntos!C12+NºAsuntos!E12)/NºAsuntos!G12," - ")</f>
        <v>3.6509433962264151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46</v>
      </c>
      <c r="G14" s="1163">
        <f t="shared" si="5"/>
        <v>45</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405</v>
      </c>
      <c r="Y14" s="1165">
        <f t="shared" si="6"/>
        <v>442</v>
      </c>
      <c r="Z14" s="1165">
        <f t="shared" si="6"/>
        <v>0</v>
      </c>
      <c r="AA14" s="1165">
        <f t="shared" si="6"/>
        <v>36</v>
      </c>
      <c r="AB14" s="1165">
        <f t="shared" si="6"/>
        <v>6183</v>
      </c>
      <c r="AC14" s="1165">
        <f t="shared" si="6"/>
        <v>53</v>
      </c>
      <c r="AD14" s="1165">
        <f t="shared" si="6"/>
        <v>0</v>
      </c>
      <c r="AE14" s="1169">
        <f t="shared" si="6"/>
        <v>0</v>
      </c>
      <c r="AF14" s="1162">
        <f t="shared" si="6"/>
        <v>0</v>
      </c>
      <c r="AG14" s="1170">
        <f t="shared" si="6"/>
        <v>0</v>
      </c>
      <c r="AH14" s="1167">
        <f t="shared" si="6"/>
        <v>0</v>
      </c>
      <c r="AI14" s="1162">
        <f t="shared" si="6"/>
        <v>397</v>
      </c>
      <c r="AJ14" s="1164">
        <f t="shared" si="6"/>
        <v>0</v>
      </c>
      <c r="AK14" s="1167">
        <f>SUBTOTAL(9,AK9:AK13)</f>
        <v>0</v>
      </c>
      <c r="AL14" s="1171">
        <f>IF(ISNUMBER(NºAsuntos!G14/NºAsuntos!E14),NºAsuntos!G14/NºAsuntos!E14," - ")</f>
        <v>1.0496289424860854</v>
      </c>
      <c r="AM14" s="1171">
        <f>IF(ISNUMBER(((NºAsuntos!I14/NºAsuntos!G14)*11)/factor_trimestre),((NºAsuntos!I14/NºAsuntos!G14)*11)/factor_trimestre," - ")</f>
        <v>5.3610251878038007</v>
      </c>
      <c r="AN14" s="1172">
        <f>IF(ISNUMBER('Resol  Asuntos'!D14/NºAsuntos!G14),'Resol  Asuntos'!D14/NºAsuntos!G14," - ")</f>
        <v>0.17543084401237297</v>
      </c>
      <c r="AO14" s="1173">
        <f>IF(ISNUMBER((NºAsuntos!C14+NºAsuntos!E14)/NºAsuntos!G14),(NºAsuntos!C14+NºAsuntos!E14)/NºAsuntos!G14," - ")</f>
        <v>3.623066725585506</v>
      </c>
      <c r="AP14" s="1174" t="str">
        <f t="shared" si="2"/>
        <v xml:space="preserve"> - </v>
      </c>
      <c r="AQ14" s="1174">
        <f>IF(ISNUMBER((H14-W14+K14)/(F14)),(H14-W14+K14)/(F14)," - ")</f>
        <v>-0.80434782608695654</v>
      </c>
      <c r="AR14" s="1175">
        <f>IF(ISNUMBER((Datos!P14-Datos!Q14)/(Datos!R14-Datos!P14+Datos!Q14)),(Datos!P14-Datos!Q14)/(Datos!R14-Datos!P14+Datos!Q14)," - ")</f>
        <v>-2.6452527161076995E-2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1897</v>
      </c>
      <c r="G17" s="373">
        <f>IF(ISNUMBER(IF(D_I="SI",Datos!I17,Datos!I17+Datos!AC17)),IF(D_I="SI",Datos!I17,Datos!I17+Datos!AC17)," - ")</f>
        <v>2136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1812</v>
      </c>
      <c r="X17" s="240">
        <f>IF(ISNUMBER(Datos!Q17),Datos!Q17," - ")</f>
        <v>91</v>
      </c>
      <c r="Y17" s="374">
        <f t="shared" ref="Y17:Y22" si="9">SUM(W17:X17)</f>
        <v>1903</v>
      </c>
      <c r="Z17" s="375" t="str">
        <f>IF(ISNUMBER(Datos!CC17),Datos!CC17," - ")</f>
        <v xml:space="preserve"> - </v>
      </c>
      <c r="AA17" s="372">
        <f>IF(ISNUMBER(IF(D_I="SI",Datos!L17,Datos!L17+Datos!AF17)),IF(D_I="SI",Datos!L17,Datos!L17+Datos!AF17)," - ")</f>
        <v>1797</v>
      </c>
      <c r="AB17" s="374">
        <f>IF(ISNUMBER(Datos!R17),Datos!R17," - ")</f>
        <v>435</v>
      </c>
      <c r="AC17" s="374">
        <f t="shared" si="8"/>
        <v>2232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239</v>
      </c>
      <c r="AJ17" s="245" t="str">
        <f>IF(ISNUMBER(Datos!BW17),Datos!BW17," - ")</f>
        <v xml:space="preserve"> - </v>
      </c>
      <c r="AK17" s="246" t="str">
        <f>IF(ISNUMBER(Datos!BX17),Datos!BX17," - ")</f>
        <v xml:space="preserve"> - </v>
      </c>
      <c r="AL17" s="266">
        <f>IF(ISNUMBER(NºAsuntos!G17/NºAsuntos!E17),NºAsuntos!G17/NºAsuntos!E17," - ")</f>
        <v>1.058411214953271</v>
      </c>
      <c r="AM17" s="284">
        <f>IF(ISNUMBER(((NºAsuntos!I17/NºAsuntos!G17)*11)/factor_trimestre),((NºAsuntos!I17/NºAsuntos!G17)*11)/factor_trimestre," - ")</f>
        <v>1.9834437086092718</v>
      </c>
      <c r="AN17" s="267">
        <f>IF(ISNUMBER('Resol  Asuntos'!D17/NºAsuntos!G17),'Resol  Asuntos'!D17/NºAsuntos!G17," - ")</f>
        <v>0.13189845474613687</v>
      </c>
      <c r="AO17" s="268">
        <f>IF(ISNUMBER((NºAsuntos!C17+NºAsuntos!E17)/NºAsuntos!G17),(NºAsuntos!C17+NºAsuntos!E17)/NºAsuntos!G17," - ")</f>
        <v>2.1236203090507728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223</v>
      </c>
      <c r="X18" s="240">
        <f>IF(ISNUMBER(Datos!Q18),Datos!Q18," - ")</f>
        <v>12</v>
      </c>
      <c r="Y18" s="374">
        <f t="shared" si="9"/>
        <v>235</v>
      </c>
      <c r="Z18" s="375" t="str">
        <f>IF(ISNUMBER(Datos!CC18),Datos!CC18," - ")</f>
        <v xml:space="preserve"> - </v>
      </c>
      <c r="AA18" s="372">
        <f>IF(ISNUMBER(Datos!L18),Datos!L18,"-")</f>
        <v>64</v>
      </c>
      <c r="AB18" s="374">
        <f>IF(ISNUMBER(Datos!R18),Datos!R18," - ")</f>
        <v>25</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53</v>
      </c>
      <c r="AJ18" s="245" t="str">
        <f>IF(ISNUMBER(Datos!BW18),Datos!BW18," - ")</f>
        <v xml:space="preserve"> - </v>
      </c>
      <c r="AK18" s="246" t="str">
        <f>IF(ISNUMBER(Datos!BX18),Datos!BX18," - ")</f>
        <v xml:space="preserve"> - </v>
      </c>
      <c r="AL18" s="266">
        <f>IF(ISNUMBER(NºAsuntos!G18/NºAsuntos!E18),NºAsuntos!G18/NºAsuntos!E18," - ")</f>
        <v>1.0045045045045045</v>
      </c>
      <c r="AM18" s="284">
        <f>IF(ISNUMBER(((NºAsuntos!I18/NºAsuntos!G18)*11)/factor_trimestre),((NºAsuntos!I18/NºAsuntos!G18)*11)/factor_trimestre," - ")</f>
        <v>0.57399103139013452</v>
      </c>
      <c r="AN18" s="267">
        <f>IF(ISNUMBER('Resol  Asuntos'!D18/NºAsuntos!G18),'Resol  Asuntos'!D18/NºAsuntos!G18," - ")</f>
        <v>0.23766816143497757</v>
      </c>
      <c r="AO18" s="268">
        <f>IF(ISNUMBER((NºAsuntos!C18+NºAsuntos!E18)/NºAsuntos!G18),(NºAsuntos!C18+NºAsuntos!E18)/NºAsuntos!G18," - ")</f>
        <v>1.2690582959641257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1897</v>
      </c>
      <c r="G23" s="1163">
        <f>SUBTOTAL(9,G16:G22)</f>
        <v>2197</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2035</v>
      </c>
      <c r="X23" s="1164">
        <f t="shared" si="14"/>
        <v>103</v>
      </c>
      <c r="Y23" s="1165">
        <f t="shared" si="14"/>
        <v>2138</v>
      </c>
      <c r="Z23" s="1165">
        <f t="shared" si="14"/>
        <v>0</v>
      </c>
      <c r="AA23" s="1165">
        <f t="shared" si="14"/>
        <v>1861</v>
      </c>
      <c r="AB23" s="1165">
        <f t="shared" si="14"/>
        <v>460</v>
      </c>
      <c r="AC23" s="1165">
        <f t="shared" si="14"/>
        <v>2321</v>
      </c>
      <c r="AD23" s="1165">
        <f t="shared" si="14"/>
        <v>0</v>
      </c>
      <c r="AE23" s="1169">
        <f t="shared" si="14"/>
        <v>0</v>
      </c>
      <c r="AF23" s="1162">
        <f t="shared" si="14"/>
        <v>0</v>
      </c>
      <c r="AG23" s="1170">
        <f t="shared" si="14"/>
        <v>0</v>
      </c>
      <c r="AH23" s="1167">
        <f t="shared" si="14"/>
        <v>0</v>
      </c>
      <c r="AI23" s="1162">
        <f t="shared" si="14"/>
        <v>292</v>
      </c>
      <c r="AJ23" s="1164">
        <f t="shared" si="14"/>
        <v>0</v>
      </c>
      <c r="AK23" s="1167">
        <f t="shared" si="14"/>
        <v>0</v>
      </c>
      <c r="AL23" s="1171">
        <f>IF(ISNUMBER(NºAsuntos!G23/NºAsuntos!E23),NºAsuntos!G23/NºAsuntos!E23," - ")</f>
        <v>1.0522233712512927</v>
      </c>
      <c r="AM23" s="1171">
        <f>IF(ISNUMBER(((NºAsuntos!I23/NºAsuntos!G23)*11)/factor_trimestre),((NºAsuntos!I23/NºAsuntos!G23)*11)/factor_trimestre," - ")</f>
        <v>1.828992628992629</v>
      </c>
      <c r="AN23" s="1172">
        <f>IF(ISNUMBER('Resol  Asuntos'!D23/NºAsuntos!G23),'Resol  Asuntos'!D23/NºAsuntos!G23," - ")</f>
        <v>0.14348894348894348</v>
      </c>
      <c r="AO23" s="1173">
        <f>IF(ISNUMBER((NºAsuntos!C23+NºAsuntos!E23)/NºAsuntos!G23),(NºAsuntos!C23+NºAsuntos!E23)/NºAsuntos!G23," - ")</f>
        <v>2.0299754299754298</v>
      </c>
      <c r="AP23" s="1174" t="str">
        <f t="shared" si="2"/>
        <v xml:space="preserve"> - </v>
      </c>
      <c r="AQ23" s="1174">
        <f>IF(ISNUMBER((H23-W23+K23)/(F23)),(H23-W23+K23)/(F23)," - ")</f>
        <v>-1.0727464417501318</v>
      </c>
      <c r="AR23" s="1175">
        <f>IF(ISNUMBER((Datos!P23-Datos!Q23)/(Datos!R23-Datos!P23+Datos!Q23)),(Datos!P23-Datos!Q23)/(Datos!R23-Datos!P23+Datos!Q23)," - ")</f>
        <v>-7.0707070707070704E-2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1943</v>
      </c>
      <c r="G31" s="1118">
        <f t="shared" si="20"/>
        <v>2242</v>
      </c>
      <c r="H31" s="1117">
        <f t="shared" si="20"/>
        <v>0</v>
      </c>
      <c r="I31" s="1119">
        <f t="shared" si="20"/>
        <v>0</v>
      </c>
      <c r="J31" s="1119">
        <f t="shared" si="20"/>
        <v>0</v>
      </c>
      <c r="K31" s="1180">
        <f t="shared" si="20"/>
        <v>0</v>
      </c>
      <c r="L31" s="1119">
        <f t="shared" si="20"/>
        <v>305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2072</v>
      </c>
      <c r="X31" s="1118">
        <f t="shared" si="21"/>
        <v>508</v>
      </c>
      <c r="Y31" s="1125">
        <f t="shared" si="21"/>
        <v>2580</v>
      </c>
      <c r="Z31" s="1125">
        <f t="shared" si="21"/>
        <v>0</v>
      </c>
      <c r="AA31" s="1125">
        <f t="shared" si="21"/>
        <v>1897</v>
      </c>
      <c r="AB31" s="1125">
        <f t="shared" si="21"/>
        <v>6643</v>
      </c>
      <c r="AC31" s="1125">
        <f t="shared" si="21"/>
        <v>2374</v>
      </c>
      <c r="AD31" s="1125">
        <f t="shared" si="21"/>
        <v>0</v>
      </c>
      <c r="AE31" s="1127">
        <f t="shared" si="21"/>
        <v>0</v>
      </c>
      <c r="AF31" s="1128">
        <f t="shared" si="21"/>
        <v>0</v>
      </c>
      <c r="AG31" s="1129">
        <f t="shared" si="21"/>
        <v>0</v>
      </c>
      <c r="AH31" s="1127">
        <f t="shared" si="21"/>
        <v>0</v>
      </c>
      <c r="AI31" s="1117">
        <f t="shared" si="21"/>
        <v>689</v>
      </c>
      <c r="AJ31" s="1117">
        <f t="shared" si="21"/>
        <v>0</v>
      </c>
      <c r="AK31" s="1127">
        <f t="shared" si="21"/>
        <v>0</v>
      </c>
      <c r="AL31" s="1183">
        <f>IF(ISNUMBER(NºAsuntos!G31/NºAsuntos!E31),NºAsuntos!G31/NºAsuntos!E31," - ")</f>
        <v>1.0508557457212715</v>
      </c>
      <c r="AM31" s="1184">
        <f>IF(ISNUMBER(((NºAsuntos!I31/NºAsuntos!G31)*11)/factor_trimestre),((NºAsuntos!I31/NºAsuntos!G31)*11)/factor_trimestre," - ")</f>
        <v>3.6886924150767797</v>
      </c>
      <c r="AN31" s="1184">
        <f>IF(ISNUMBER('Resol  Asuntos'!D31/NºAsuntos!G31),'Resol  Asuntos'!D31/NºAsuntos!G31," - ")</f>
        <v>0.16030711959050722</v>
      </c>
      <c r="AO31" s="1185">
        <f>IF(ISNUMBER((NºAsuntos!C31+NºAsuntos!E31)/NºAsuntos!G31),(NºAsuntos!C31+NºAsuntos!E31)/NºAsuntos!G31," - ")</f>
        <v>2.8687761749651002</v>
      </c>
      <c r="AP31" s="1186" t="str">
        <f t="shared" si="2"/>
        <v xml:space="preserve"> - </v>
      </c>
      <c r="AQ31" s="1187">
        <f>IF(OR(ISNUMBER(FIND("01",Criterios!A8,1)),ISNUMBER(FIND("02",Criterios!A8,1)),ISNUMBER(FIND("03",Criterios!A8,1)),ISNUMBER(FIND("04",Criterios!A8,1))),(I31-W31+K31)/(F31-K31),(H31-W31+K31)/(F31-K31))</f>
        <v>-1.0663921770458054</v>
      </c>
      <c r="AR31" s="1188">
        <f>IF(ISNUMBER((Datos!P31-Datos!Q31)/(Datos!R31-Datos!P31+Datos!Q31)),(Datos!P31-Datos!Q31)/(Datos!R31-Datos!P31+Datos!Q31)," - ")</f>
        <v>-2.9652351738241309E-2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967.94807023242049</v>
      </c>
      <c r="G33" s="277">
        <f>IF(ISNUMBER(STDEV(G8:G30)),STDEV(G8:G30),"-")</f>
        <v>1042.8129997180474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915.03988984087459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174.46551030422685</v>
      </c>
      <c r="AJ33" s="276">
        <f t="shared" si="25"/>
        <v>0</v>
      </c>
      <c r="AK33" s="278">
        <f t="shared" si="25"/>
        <v>0</v>
      </c>
      <c r="AL33" s="273">
        <f t="shared" si="25"/>
        <v>0.13540346555382043</v>
      </c>
      <c r="AM33" s="274">
        <f t="shared" si="25"/>
        <v>2.0341915979002874</v>
      </c>
      <c r="AN33" s="274">
        <f t="shared" si="25"/>
        <v>8.1843224537551662E-2</v>
      </c>
      <c r="AO33" s="275">
        <f t="shared" si="25"/>
        <v>0.97462195645893601</v>
      </c>
      <c r="AP33" s="317" t="str">
        <f t="shared" si="25"/>
        <v>-</v>
      </c>
      <c r="AQ33" s="318">
        <f t="shared" si="25"/>
        <v>0.18978648119651326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9lSQ195tfkLrBH9iqm+bOMttRkaOAulhlqxHFHxpVGFQqzaZq2h/UINdm4Sh0lLPtTf9ehoRGbbTwI9Au4Vw==" saltValue="uvv+qp10Q54ufRqTqtKp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-0.21052631578947367</v>
      </c>
      <c r="E10" s="393">
        <f>IF(ISNUMBER((Datos!J10-Datos!T10)/Datos!T10),(Datos!J10-Datos!T10)/Datos!T10," - ")</f>
        <v>0.2857142857142857</v>
      </c>
      <c r="F10" s="393">
        <f>IF(ISNUMBER((Datos!K10-Datos!U10)/Datos!U10),(Datos!K10-Datos!U10)/Datos!U10," - ")</f>
        <v>0.94736842105263153</v>
      </c>
      <c r="G10" s="394">
        <f>IF(ISNUMBER((Datos!L10-Datos!V10)/Datos!V10),(Datos!L10-Datos!V10)/Datos!V10," - ")</f>
        <v>-0.38983050847457629</v>
      </c>
      <c r="H10" s="244">
        <f>IF(ISNUMBER((Datos!M10-Datos!W10)/Datos!W10),(Datos!M10-Datos!W10)/Datos!W10," - ")</f>
        <v>0.18181818181818182</v>
      </c>
      <c r="I10" s="395">
        <f>IF(ISNUMBER((Tasas!C10-Datos!BE10)/Datos!BE10),(Tasas!C10-Datos!BE10)/Datos!BE10," - ")</f>
        <v>-0.68666972056802555</v>
      </c>
      <c r="J10" s="394">
        <f>IF(ISNUMBER((Tasas!D10-Datos!BF10)/Datos!BF10),(Tasas!D10-Datos!BF10)/Datos!BF10," - ")</f>
        <v>-0.3931203931203931</v>
      </c>
      <c r="K10" s="396">
        <f>IF(ISNUMBER((Tasas!E10-Datos!BG10)/Datos!BG10),(Tasas!E10-Datos!BG10)/Datos!BG10," - ")</f>
        <v>-0.52598752598752596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0.27574750830564781</v>
      </c>
      <c r="I12" s="395">
        <f>IF(ISNUMBER((Tasas!C12-Datos!BE12)/Datos!BE12),(Tasas!C12-Datos!BE12)/Datos!BE12," - ")</f>
        <v>-0.25814497097672551</v>
      </c>
      <c r="J12" s="394">
        <f>IF(ISNUMBER((Tasas!D12-Datos!BF12)/Datos!BF12),(Tasas!D12-Datos!BF12)/Datos!BF12," - ")</f>
        <v>-0.48829461825009834</v>
      </c>
      <c r="K12" s="396">
        <f>IF(ISNUMBER((Tasas!E12-Datos!BG12)/Datos!BG12),(Tasas!E12-Datos!BG12)/Datos!BG12," - ")</f>
        <v>-0.22102716330513988</v>
      </c>
      <c r="M12" t="e">
        <f>IF(Monitorios="SI",Datos!CE12,0)</f>
        <v>#REF!</v>
      </c>
      <c r="N12" t="e">
        <f>IF(Monitorios="SI",Datos!CF12,0)</f>
        <v>#REF!</v>
      </c>
      <c r="O12" t="e">
        <f>IF(Monitorios="SI",Datos!CG12,0)</f>
        <v>#REF!</v>
      </c>
      <c r="P12" t="e">
        <f>IF(Monitorios="SI",Datos!CH12,0)</f>
        <v>#REF!</v>
      </c>
      <c r="Q12">
        <f>IF(J_V="SI",0,Datos!AG12)</f>
        <v>87</v>
      </c>
      <c r="R12">
        <f>IF(J_V="SI",0,Datos!AH12)</f>
        <v>99</v>
      </c>
      <c r="S12">
        <f>IF(J_V="SI",0,Datos!AI12)</f>
        <v>94</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0.27243589743589741</v>
      </c>
      <c r="I14" s="402">
        <f>IF(ISNUMBER((Tasas!C14-Datos!BE14)/Datos!BE14),(Tasas!C14-Datos!BE14)/Datos!BE14," - ")</f>
        <v>-0.26461377921876666</v>
      </c>
      <c r="J14" s="400">
        <f>IF(ISNUMBER((Tasas!D14-Datos!BF14)/Datos!BF14),(Tasas!D14-Datos!BF14)/Datos!BF14," - ")</f>
        <v>-0.48400799458379107</v>
      </c>
      <c r="K14" s="403">
        <f>IF(ISNUMBER((Tasas!E14-Datos!BG14)/Datos!BG14),(Tasas!E14-Datos!BG14)/Datos!BG14," - ")</f>
        <v>-0.22583631550072439</v>
      </c>
      <c r="M14" t="e">
        <f>IF(Monitorios="SI",Datos!CE14,0)</f>
        <v>#REF!</v>
      </c>
      <c r="N14" t="e">
        <f>IF(Monitorios="SI",Datos!CF14,0)</f>
        <v>#REF!</v>
      </c>
      <c r="O14" t="e">
        <f>IF(Monitorios="SI",Datos!CG14,0)</f>
        <v>#REF!</v>
      </c>
      <c r="P14" t="e">
        <f>IF(Monitorios="SI",Datos!CH14,0)</f>
        <v>#REF!</v>
      </c>
      <c r="Q14">
        <f>IF(J_V="SI",0,Datos!AG14)</f>
        <v>87</v>
      </c>
      <c r="R14">
        <f>IF(J_V="SI",0,Datos!AH14)</f>
        <v>99</v>
      </c>
      <c r="S14">
        <f>IF(J_V="SI",0,Datos!AI14)</f>
        <v>94</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9.3701996927803385E-2</v>
      </c>
      <c r="E17" s="393">
        <f>IF(ISNUMBER(
   IF(D_I="SI",(Datos!J17-Datos!T17)/Datos!T17,(Datos!J17+Datos!AD17-(Datos!T17+Datos!AL17))/(Datos!T17+Datos!AL17))
     ),IF(D_I="SI",(Datos!J17-Datos!T17)/Datos!T17,(Datos!J17+Datos!AD17-(Datos!T17+Datos!AL17))/(Datos!T17+Datos!AL17))," - ")</f>
        <v>3.3192516596258298E-2</v>
      </c>
      <c r="F17" s="393">
        <f>IF(ISNUMBER(
   IF(D_I="SI",(Datos!K17-Datos!U17)/Datos!U17,(Datos!K17+Datos!AE17-(Datos!U17+Datos!AM17))/(Datos!U17+Datos!AM17))
     ),IF(D_I="SI",(Datos!K17-Datos!U17)/Datos!U17,(Datos!K17+Datos!AE17-(Datos!U17+Datos!AM17))/(Datos!U17+Datos!AM17))," - ")</f>
        <v>9.420289855072464E-2</v>
      </c>
      <c r="G17" s="394">
        <f>IF(ISNUMBER(
   IF(D_I="SI",(Datos!L17-Datos!V17)/Datos!V17,(Datos!L17+Datos!AF17-(Datos!V17+Datos!AN17))/(Datos!V17+Datos!AN17))
     ),IF(D_I="SI",(Datos!L17-Datos!V17)/Datos!V17,(Datos!L17+Datos!AF17-(Datos!V17+Datos!AN17))/(Datos!V17+Datos!AN17))," - ")</f>
        <v>-0.12255859375</v>
      </c>
      <c r="H17" s="244">
        <f>IF(ISNUMBER((Datos!M17-Datos!W17)/Datos!W17),(Datos!M17-Datos!W17)/Datos!W17," - ")</f>
        <v>0.17733990147783252</v>
      </c>
      <c r="I17" s="395">
        <f>IF(ISNUMBER((Tasas!C17-Datos!BE17)/Datos!BE17),(Tasas!C17-Datos!BE17)/Datos!BE17," - ")</f>
        <v>-0.19809990687086088</v>
      </c>
      <c r="J17" s="394">
        <f>IF(ISNUMBER((Tasas!D17-Datos!BF17)/Datos!BF17),(Tasas!D17-Datos!BF17)/Datos!BF17," - ")</f>
        <v>7.5979512608880084E-2</v>
      </c>
      <c r="K17" s="396">
        <f>IF(ISNUMBER((Tasas!E17-Datos!BG17)/Datos!BG17),(Tasas!E17-Datos!BG17)/Datos!BG17," - ")</f>
        <v>-2.5840656014382391E-2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1.6666666666666666E-2</v>
      </c>
      <c r="E18" s="393">
        <f>IF(ISNUMBER(
   IF(D_I="SI",(Datos!J18-Datos!T18)/Datos!T18,(Datos!J18+Datos!AD18-(Datos!T18+Datos!AL18))/(Datos!T18+Datos!AL18))
     ),IF(D_I="SI",(Datos!J18-Datos!T18)/Datos!T18,(Datos!J18+Datos!AD18-(Datos!T18+Datos!AL18))/(Datos!T18+Datos!AL18))," - ")</f>
        <v>0.21978021978021978</v>
      </c>
      <c r="F18" s="393">
        <f>IF(ISNUMBER(
   IF(D_I="SI",(Datos!K18-Datos!U18)/Datos!U18,(Datos!K18+Datos!AE18-(Datos!U18+Datos!AM18))/(Datos!U18+Datos!AM18))
     ),IF(D_I="SI",(Datos!K18-Datos!U18)/Datos!U18,(Datos!K18+Datos!AE18-(Datos!U18+Datos!AM18))/(Datos!U18+Datos!AM18))," - ")</f>
        <v>0.19251336898395721</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v>
      </c>
      <c r="I18" s="395">
        <f>IF(ISNUMBER((Tasas!C18-Datos!BE18)/Datos!BE18),(Tasas!C18-Datos!BE18)/Datos!BE18," - ")</f>
        <v>-0.10553064275037372</v>
      </c>
      <c r="J18" s="394">
        <f>IF(ISNUMBER((Tasas!D18-Datos!BF18)/Datos!BF18),(Tasas!D18-Datos!BF18)/Datos!BF18," - ")</f>
        <v>-0.16143497757847544</v>
      </c>
      <c r="K18" s="396">
        <f>IF(ISNUMBER((Tasas!E18-Datos!BG18)/Datos!BG18),(Tasas!E18-Datos!BG18)/Datos!BG18," - ")</f>
        <v>-1.9364044027721121E-2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9.1405861897665183E-2</v>
      </c>
      <c r="E23" s="399">
        <f>IF(ISNUMBER(
   IF(D_I="SI",(Datos!J23-Datos!T23)/Datos!T23,(Datos!J23+Datos!AD23-(Datos!T23+Datos!AL23))/(Datos!T23+Datos!AL23))
     ),IF(D_I="SI",(Datos!J23-Datos!T23)/Datos!T23,(Datos!J23+Datos!AD23-(Datos!T23+Datos!AL23))/(Datos!T23+Datos!AL23))," - ")</f>
        <v>5.1658510059815116E-2</v>
      </c>
      <c r="F23" s="399">
        <f>IF(ISNUMBER(
   IF(D_I="SI",(Datos!K23-Datos!U23)/Datos!U23,(Datos!K23+Datos!AE23-(Datos!U23+Datos!AM23))/(Datos!U23+Datos!AM23))
     ),IF(D_I="SI",(Datos!K23-Datos!U23)/Datos!U23,(Datos!K23+Datos!AE23-(Datos!U23+Datos!AM23))/(Datos!U23+Datos!AM23))," - ")</f>
        <v>0.10417797069994574</v>
      </c>
      <c r="G23" s="400">
        <f>IF(ISNUMBER(
   IF(D_I="SI",(Datos!L23-Datos!V23)/Datos!V23,(Datos!L23+Datos!AF23-(Datos!V23+Datos!AN23))/(Datos!V23+Datos!AN23))
     ),IF(D_I="SI",(Datos!L23-Datos!V23)/Datos!V23,(Datos!L23+Datos!AF23-(Datos!V23+Datos!AN23))/(Datos!V23+Datos!AN23))," - ")</f>
        <v>-0.11717267552182163</v>
      </c>
      <c r="H23" s="401">
        <f>IF(ISNUMBER((Datos!M23-Datos!W23)/Datos!W23),(Datos!M23-Datos!W23)/Datos!W23," - ")</f>
        <v>0.140625</v>
      </c>
      <c r="I23" s="402">
        <f>IF(ISNUMBER((Tasas!C23-Datos!BE23)/Datos!BE23),(Tasas!C23-Datos!BE23)/Datos!BE23," - ")</f>
        <v>-0.20046645748733033</v>
      </c>
      <c r="J23" s="400">
        <f>IF(ISNUMBER((Tasas!D23-Datos!BF23)/Datos!BF23),(Tasas!D23-Datos!BF23)/Datos!BF23," - ")</f>
        <v>3.3008292383292281E-2</v>
      </c>
      <c r="K23" s="403">
        <f>IF(ISNUMBER((Tasas!E23-Datos!BG23)/Datos!BG23),(Tasas!E23-Datos!BG23)/Datos!BG23," - ")</f>
        <v>-2.8752669406875063E-2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2.4238657551274082E-2</v>
      </c>
      <c r="E31" s="409">
        <f>IF(ISNUMBER(
   IF(J_V="SI",(Datos!J31-Datos!T31)/Datos!T31,(Datos!J31+Datos!Z31-(Datos!T31+Datos!AH31))/(Datos!T31+Datos!AH31))
     ),IF(J_V="SI",(Datos!J31-Datos!T31)/Datos!T31,(Datos!J31+Datos!Z31-(Datos!T31+Datos!AH31))/(Datos!T31+Datos!AH31))," - ")</f>
        <v>0.23602296766394681</v>
      </c>
      <c r="F31" s="409">
        <f>IF(ISNUMBER(
   IF(J_V="SI",(Datos!K31-Datos!U31)/Datos!U31,(Datos!K31+Datos!AA31-(Datos!U31+Datos!AI31))/(Datos!U31+Datos!AI31))
     ),IF(J_V="SI",(Datos!K31-Datos!U31)/Datos!U31,(Datos!K31+Datos!AA31-(Datos!U31+Datos!AI31))/(Datos!U31+Datos!AI31))," - ")</f>
        <v>0.24724318049912944</v>
      </c>
      <c r="G31" s="410">
        <f>IF(ISNUMBER(
   IF(J_V="SI",(Datos!L31-Datos!V31)/Datos!V31,(Datos!L31+Datos!AB31-(Datos!V31+Datos!AJ31))/(Datos!V31+Datos!AJ31))
     ),IF(J_V="SI",(Datos!L31-Datos!V31)/Datos!V31,(Datos!L31+Datos!AB31-(Datos!V31+Datos!AJ31))/(Datos!V31+Datos!AJ31))," - ")</f>
        <v>-3.0184882404728965E-3</v>
      </c>
      <c r="H31" s="411">
        <f>IF(ISNUMBER((Datos!M31-Datos!W31)/Datos!W31),(Datos!M31-Datos!W31)/Datos!W31," - ")</f>
        <v>0.2130281690140845</v>
      </c>
      <c r="I31" s="408">
        <f>IF(ISNUMBER((Tasas!C31-Datos!BE31)/Datos!BE31),(Tasas!C31-Datos!BE31)/Datos!BE31," - ")</f>
        <v>-0.20065186376842015</v>
      </c>
      <c r="J31" s="409">
        <f>IF(ISNUMBER((Tasas!D31-Datos!BF31)/Datos!BF31),(Tasas!D31-Datos!BF31)/Datos!BF31," - ")</f>
        <v>-0.31033915841587029</v>
      </c>
      <c r="K31" s="410">
        <f>IF(ISNUMBER((Tasas!E31-Datos!BG31)/Datos!BG31),(Tasas!E31-Datos!BG31)/Datos!BG31," - ")</f>
        <v>-0.12931101823764887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0.14342832678940837</v>
      </c>
      <c r="E33" s="303">
        <f t="shared" si="1"/>
        <v>0.1246052179952369</v>
      </c>
      <c r="F33" s="303">
        <f t="shared" si="1"/>
        <v>0.4109171943385409</v>
      </c>
      <c r="G33" s="304">
        <f t="shared" si="1"/>
        <v>0.18792692556198984</v>
      </c>
      <c r="H33" s="310">
        <f t="shared" si="1"/>
        <v>0.10149061898687449</v>
      </c>
      <c r="I33" s="302">
        <f t="shared" si="1"/>
        <v>0.20463630161382837</v>
      </c>
      <c r="J33" s="303">
        <f t="shared" si="1"/>
        <v>0.25499152731381214</v>
      </c>
      <c r="K33" s="304">
        <f t="shared" si="1"/>
        <v>0.19786496343914031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pf1a2QnBII6ZaMBJaAXfKl/7cz7wOdr8gIC8oye5H4zdcgTbp6cQj7xynAuF6zE6XczlfDMKc8vZuZc7fktMw==" saltValue="/DJ4lGDNR8Ru3A0h50Ch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